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4560" windowWidth="13275" windowHeight="7170" activeTab="0"/>
  </bookViews>
  <sheets>
    <sheet name="podaci o preduzeću" sheetId="1" r:id="rId1"/>
  </sheets>
  <externalReferences>
    <externalReference r:id="rId4"/>
    <externalReference r:id="rId5"/>
  </externalReferences>
  <definedNames>
    <definedName name="_xlnm.Print_Area" localSheetId="0">'podaci o preduzeću'!$A$1:$Q$173</definedName>
  </definedNames>
  <calcPr fullCalcOnLoad="1"/>
</workbook>
</file>

<file path=xl/sharedStrings.xml><?xml version="1.0" encoding="utf-8"?>
<sst xmlns="http://schemas.openxmlformats.org/spreadsheetml/2006/main" count="247" uniqueCount="173">
  <si>
    <t>"SOJAPROTEIN" A.D.</t>
  </si>
  <si>
    <t>ZA PRERADU SOJE</t>
  </si>
  <si>
    <t>BEČEJ</t>
  </si>
  <si>
    <t xml:space="preserve">Pravilnika o sadržini i načinu izveštavanja javnih društava i obaveštenja o posedovanju akcija sa </t>
  </si>
  <si>
    <t>pravom glasa</t>
  </si>
  <si>
    <t>"SOJAPROTEIN" A.D. BEČEJ</t>
  </si>
  <si>
    <t>OBJAVLJUJE</t>
  </si>
  <si>
    <t>ELEMENTI</t>
  </si>
  <si>
    <t>POSLOVNI PRIHODI</t>
  </si>
  <si>
    <t>FINANSIJSKI PRIHODI</t>
  </si>
  <si>
    <t>OSTALI PRIHODI</t>
  </si>
  <si>
    <t>u 000 dinara</t>
  </si>
  <si>
    <t>POSLOVNI RASHODI</t>
  </si>
  <si>
    <t>Nabavna vred.robe</t>
  </si>
  <si>
    <t>Troškovi zarada naknada zarada i ostali lični rashodi</t>
  </si>
  <si>
    <t>Troškovi materijala</t>
  </si>
  <si>
    <t>Troškovi amortizacije i rezervisanja</t>
  </si>
  <si>
    <t>FINANSIJSKI RASHODI</t>
  </si>
  <si>
    <t>OSTALI RASHODI</t>
  </si>
  <si>
    <t>Poreski rashod perioda</t>
  </si>
  <si>
    <t>NETO DOBIT</t>
  </si>
  <si>
    <t>Ostali poslovni rashodi</t>
  </si>
  <si>
    <t>Red.  br.</t>
  </si>
  <si>
    <t>O p i s</t>
  </si>
  <si>
    <t>A</t>
  </si>
  <si>
    <t>Soja JUS kvalitet</t>
  </si>
  <si>
    <t>Kukuruz</t>
  </si>
  <si>
    <t>Pšenica</t>
  </si>
  <si>
    <t>Svega prerada</t>
  </si>
  <si>
    <t>B</t>
  </si>
  <si>
    <t>PROIZVODNJA</t>
  </si>
  <si>
    <t>Sirovo sojino ulje</t>
  </si>
  <si>
    <t>Lecitin</t>
  </si>
  <si>
    <t>Sojina sačma</t>
  </si>
  <si>
    <t>Sojino brašno - SOPRO</t>
  </si>
  <si>
    <t>TSP - SOPROTEX</t>
  </si>
  <si>
    <t>Leci-vita</t>
  </si>
  <si>
    <t>Pržena soja</t>
  </si>
  <si>
    <t>Ukupna Proizvodnja</t>
  </si>
  <si>
    <t>2.</t>
  </si>
  <si>
    <t xml:space="preserve">UKUPNA REALIZACIJA </t>
  </si>
  <si>
    <t>Naziv proizvoda</t>
  </si>
  <si>
    <t>1.</t>
  </si>
  <si>
    <t>Sojino ulje</t>
  </si>
  <si>
    <t>3.</t>
  </si>
  <si>
    <t xml:space="preserve">Sojina sačma 44% </t>
  </si>
  <si>
    <t>4.</t>
  </si>
  <si>
    <t>Sojina ljuska</t>
  </si>
  <si>
    <t>5.</t>
  </si>
  <si>
    <t>6.</t>
  </si>
  <si>
    <t>7.</t>
  </si>
  <si>
    <t>Sojino brašno-SOPRO</t>
  </si>
  <si>
    <t>8.</t>
  </si>
  <si>
    <t>T S P SOPROTEX</t>
  </si>
  <si>
    <t>9.</t>
  </si>
  <si>
    <t>SOPROMIX</t>
  </si>
  <si>
    <t>11.</t>
  </si>
  <si>
    <t>12.</t>
  </si>
  <si>
    <t>Vegeterijanska pašteta</t>
  </si>
  <si>
    <t xml:space="preserve">           U k u p n o</t>
  </si>
  <si>
    <t>( u tonama )</t>
  </si>
  <si>
    <t>PRERAĐENE KOLIČINE</t>
  </si>
  <si>
    <t>Poslovno ime, sedište i adresa, matični broj i PIB akconatskog društva</t>
  </si>
  <si>
    <t>"SOJAPROTEIN" Akconarsko društvo za preradu soje Bečej</t>
  </si>
  <si>
    <t>Industrijska zona bb, Bečej</t>
  </si>
  <si>
    <t>Matični broj: 08114072</t>
  </si>
  <si>
    <t>PIB 100741587</t>
  </si>
  <si>
    <t>web site i e-mail adresa</t>
  </si>
  <si>
    <t>www.soyaprotein.com</t>
  </si>
  <si>
    <t>office@soyaprotein.com</t>
  </si>
  <si>
    <t>Broj i datum rešenja upisa u registar privrednih subjekata</t>
  </si>
  <si>
    <t>BD 78680, od 29.07.2005. godine</t>
  </si>
  <si>
    <t>Delatnost (šifra i opis)</t>
  </si>
  <si>
    <t>15410 - proizvodnja sirovog ulja i masti</t>
  </si>
  <si>
    <t>Podaci o Predsedniku i članovima Upravnog odbora</t>
  </si>
  <si>
    <t>Nikola Dolinka i Nebojša Vuković.</t>
  </si>
  <si>
    <t xml:space="preserve">Predsednik  Upravnog  odbora  je  Zoran  Mitrović, a  članovi  su  Stanko  Popović, </t>
  </si>
  <si>
    <t xml:space="preserve">Milija  Babović, Jasenka Stekić, Olivera Ilinčić, Branislava Pavlović, Milanko Simić, </t>
  </si>
  <si>
    <t>III. BRUTO DOBIT</t>
  </si>
  <si>
    <t xml:space="preserve">podacima  o bitnim  materijalnim  događajima i tansakcijama  ostvarenim  do  datuma </t>
  </si>
  <si>
    <t xml:space="preserve">Osnovne  podatke o šestomesečnom planu poslovanja za tekuću poslovnu godinu, sa </t>
  </si>
  <si>
    <t>važan sastojak hraniva u stočarstvu.</t>
  </si>
  <si>
    <t>Na osnovu  člana 67.stava 2 i člana 64 Zakona o tržištu  hartija od vrednosti i na osnovu člana 5</t>
  </si>
  <si>
    <t>objavljivanja, a koji imaju značajni uticaj na finansijski položaj, uspeh i novčane tokove</t>
  </si>
  <si>
    <t>društva daje se u nastavku.</t>
  </si>
  <si>
    <t>Generalni direktor</t>
  </si>
  <si>
    <t>Pavlović Branislava</t>
  </si>
  <si>
    <t>Red.    br.</t>
  </si>
  <si>
    <t>Sojin griz - UTG</t>
  </si>
  <si>
    <t>(u tonama)</t>
  </si>
  <si>
    <t>Sopromix</t>
  </si>
  <si>
    <t>Vegetarijanska pašteta</t>
  </si>
  <si>
    <t xml:space="preserve"> P R O I Z V O D N J A</t>
  </si>
  <si>
    <t>PLAN POSLOVANJA "SOJAPROTEIN" A.D. BEČEJ</t>
  </si>
  <si>
    <t>PLAN                   od  01.01.  do            30.06.2009</t>
  </si>
  <si>
    <t xml:space="preserve">Sojin griz- PTG/SH </t>
  </si>
  <si>
    <t>10.</t>
  </si>
  <si>
    <t>Sojin griz -SOPRO, UTG i BIO</t>
  </si>
  <si>
    <t>Sojin griz- PTG/SH</t>
  </si>
  <si>
    <t xml:space="preserve">Prerada  sojinog  zrna, proizvodnja i plasman gotovih proizvoda  preduzeća obuhvata razne vrste </t>
  </si>
  <si>
    <t>industriju,  teksturiranih   proteina,  mikseva, ulja, lecitina  i  sačme. Ovi  proizvodi  imaju  primenu</t>
  </si>
  <si>
    <t xml:space="preserve">punomasnih, malomasnih, lecitiranih i obezmašćenih brašana i grizeva, smeša za  prehrambenu </t>
  </si>
  <si>
    <t>u  sledećim   granama  prehrambene  industrije: mesnoj, konditorskoj, farmaceutskoj,  proizvodnji</t>
  </si>
  <si>
    <t>testenina,   pekarstvu,   proizvodnji   biljnih   ulja  i  masti. Soja - Vita  proizvodi   namenjeni  su  za</t>
  </si>
  <si>
    <t xml:space="preserve">korišćene   u  domaćonstvu,  ugostriteljstvu   i  društvenoj  ishrani.  Proizvodi  "Sojaprotein" -a  su </t>
  </si>
  <si>
    <t>kursa Eur-a.</t>
  </si>
  <si>
    <t xml:space="preserve">Eur-a od  95,00 dinara, te su moguća  određena  odstupanja  jer  se  ne može  predvideti  kretanje </t>
  </si>
  <si>
    <t>konditorskoj industriji i za potrebe stočatske ishrane.</t>
  </si>
  <si>
    <t xml:space="preserve">i negativne  kursne  razlike po osnovu dugoročnih  kredita  predviđeni su na  bazi prosečnog kursa </t>
  </si>
  <si>
    <t xml:space="preserve">Na nivou Victoriagroup izvršeno je objedinjavanje poslovnih funkcija koje se obavljaju za potrebe više članica i to poslova ugovaranja proizvodnje i nabavke sirovina, transporta i skladištenja roba, kao i reorganizacija strukture proizvodnje i proizvodnih programa u društvima članicama grupe. U okviru izvršene reorganizacije, počev od 01. januara 2009. godine poslove ugovaranja proizvodnje i nabavke sirovina, koji su se obavljali u Društvu obavlja «Victoria Logistic» DOO Novi Sad. Iz ovih razloga u Planu poslovanja su smanjeni prihodi od prodaje trgovačke robe (semenska roba, mineralno đubrivo, zaštitna sredstva) Što se reorganizacija strukture proizvodnje i proizvodnih programa u društvima članicama grupe tiče, iz «Sojaprotein»A.D. izmešta se proizvodnje hrane za ribe – Soprofish u zavisno društvo Veterinarski Zavod «Subotica»A.D. Subotica, dok se u «Sojaprotein»A.D. realizacijom novih investicija povećavaju kapaciteti za proizvodnju proizvoda od soje viših faza prerade namenjenih prehrambenoj industriji i proizvodima za ljudsku ishranu, što predstavlja realizaciju razvojnih planova Društva. </t>
  </si>
  <si>
    <t>Društvo je 24.02.2009. godine prodalo svih 7.040  akcija "SP Laboratorija" koje je posedovalo i tako otuđilo celokupno učešće u kapitalu "SP Laboratorija"</t>
  </si>
  <si>
    <t>Sojin griz - UTG, BIO</t>
  </si>
  <si>
    <t>Sopromiks</t>
  </si>
  <si>
    <t>Vegetar. pašteta</t>
  </si>
  <si>
    <t>Sojin griz-PTG  -SH</t>
  </si>
  <si>
    <t>Dom.trž</t>
  </si>
  <si>
    <t>izvoz</t>
  </si>
  <si>
    <t xml:space="preserve">Sojina ljus. I </t>
  </si>
  <si>
    <t>Ukupno</t>
  </si>
  <si>
    <t>Kukuruz-tona</t>
  </si>
  <si>
    <t>Trg.roba I-IV</t>
  </si>
  <si>
    <t>P</t>
  </si>
  <si>
    <t>R</t>
  </si>
  <si>
    <t>BD</t>
  </si>
  <si>
    <t>Kukuruz-tona-izvoz</t>
  </si>
  <si>
    <t>OSTVARENJE                   od  01.01.  do            30.06.2009</t>
  </si>
  <si>
    <t>PLAN                   od  01.07.  do            31.12.2009</t>
  </si>
  <si>
    <t>Sojina ljuska I i  IIIkat,</t>
  </si>
  <si>
    <t>Zalihe belih flekica</t>
  </si>
  <si>
    <t>Neuslovna hrana</t>
  </si>
  <si>
    <t>ZA PERIOD OD 01.07.2009.god. DO 31.12.2009.god.</t>
  </si>
  <si>
    <t>Zalihe gotovih proizvoda i nedovršene proizvodnje 30.06.2009.god.</t>
  </si>
  <si>
    <t>SA OSVRTOM NA REALIZACIJU PLANA ZA PRVO POLUGODIĐTE</t>
  </si>
  <si>
    <t>ZALIHE</t>
  </si>
  <si>
    <t>Sojin griz-PTG/SH</t>
  </si>
  <si>
    <t>Zalihe 31,12.'09</t>
  </si>
  <si>
    <t>sa osvrtom na realizaciju plana za prvo pollugodište</t>
  </si>
  <si>
    <t xml:space="preserve">Izjavu o planu poslovanja "SOJAPROTEIN" AD Bečej </t>
  </si>
  <si>
    <t xml:space="preserve">za period 01.07.'09 - 31.12.2009. godine </t>
  </si>
  <si>
    <t>30.09.'09</t>
  </si>
  <si>
    <t>cene                                domaće</t>
  </si>
  <si>
    <t>cene                               ino  kurs 95 din/€</t>
  </si>
  <si>
    <t>€</t>
  </si>
  <si>
    <t>REALIZACIJA X - XII '09</t>
  </si>
  <si>
    <t>PRIHODI X - XII '09</t>
  </si>
  <si>
    <t>Tr.zar.nak.zarada i ostali lični rashodi</t>
  </si>
  <si>
    <t>Energija</t>
  </si>
  <si>
    <t>Ost mat.tr.</t>
  </si>
  <si>
    <t>Troškovi materijala-SOJA +</t>
  </si>
  <si>
    <t>Nabavna vred.trg.robe</t>
  </si>
  <si>
    <t>se  rast  prihoda zbog rasta plasmana  proizvoda  na  domaćem i pogotovo na stranom tržištu,  a</t>
  </si>
  <si>
    <t>se troškovi repromaterijala i ostali troškovi uglavnom zadržati na istom nivou.</t>
  </si>
  <si>
    <t xml:space="preserve">takođe će se plasirati i prelazne zalihe gotovih proizvoda iz prvog polugodišta 2009.godine, dok će </t>
  </si>
  <si>
    <t xml:space="preserve">Preduzeće  očekuje da treće i četvro  tromesečje  bude  najprofitabilniji deo 2009.godine. Očekuje </t>
  </si>
  <si>
    <t>Trg.roba X-XII</t>
  </si>
  <si>
    <t>I</t>
  </si>
  <si>
    <t xml:space="preserve">  PRIHODI</t>
  </si>
  <si>
    <t>52,25 i 56</t>
  </si>
  <si>
    <t>II</t>
  </si>
  <si>
    <t xml:space="preserve">  RASHODI</t>
  </si>
  <si>
    <t>1.1</t>
  </si>
  <si>
    <t>III</t>
  </si>
  <si>
    <t>IV</t>
  </si>
  <si>
    <t xml:space="preserve">Na osnovu Odluke o povećanju osnovnog kapitala novim ulozima i Odluke o izdavanju javnom ponudom običnih akcija VIII emisije radi povećanja osnovnog kapitala novim ulozima koje je donela Skupština "Sojaprotein"A.D. 19.02.2009. godine, Društvo je uspešno realizovalo  VIII emisiju akcija tokom koje je upisano i uplaćeno 2.231.304 komada običnih akcija  sa pravom glasa (41,397106% od ukupno ponuđenih akcija VIII emisije). </t>
  </si>
  <si>
    <t>Komisija za hartije od vrednosti je svojim Rešenjem br. 4/0-03-1133/14-09 od 22.05.2009. godine odobrila Društvu izdavanje običnih akcija VIII emisije sa pravom glasa bez nominalne vrednosti, sa računovodstvenom vrednošću u ukpnoj vrednosti od 1.034.569.545,390816  dinara i to 2.231.304 komada običnih akcija, čije je uknjižavanje u evidenciju Centralnog registra hartija od vrednosti izvršeno 25.05.2009. godine, te je osnovni kapital društva povećan za iznos 1.034.569.545,390816  dinara, a broj akcija za 2.231.304 komada običnih akcija  sa pravom glasa, tako da nakon izvršenog povećanja  osnovnog kapitala osnovni kapital Društva iznosi 3.533.704.512,95 dinara i podeljen je na 7.621.304 akcija bez nominalne vrednosti sa računovodstevnom vrednošću od 463,661404,00 dinara</t>
  </si>
  <si>
    <t>Rndman</t>
  </si>
  <si>
    <t>PROIZVODNJA                   X - XII                    2009.g.</t>
  </si>
  <si>
    <t xml:space="preserve">Planom za drugo polugodišt   2009.godine  finansijski prihodi i rashodi koji se  odnose na pozitivne </t>
  </si>
  <si>
    <t xml:space="preserve">Kupovina  sojinog  zrna  vrši se tokom perioda otkupa po tržišnim uslovima u zavisnodti od potrebe </t>
  </si>
  <si>
    <t xml:space="preserve">proizvodnje, a prerađuje se tokom cele godine do sledećeg  roda..   </t>
  </si>
  <si>
    <t>Po pravilu  plasmani  sojinih  proizvoda  su najmanji  u  prvom  tromesečju,  a  po  osnovu  toga i</t>
  </si>
  <si>
    <t>prihodi, a  zatim  se  povećavaju  u  drugom,  trećem i četvrtom   tromesečju  kada  su  nnajveći</t>
  </si>
  <si>
    <t>jer  u  tim  periodima  raste  tražnja  korisnika  sojinih  proizvoda, pogotovu  u  klaničnoj  industriji,</t>
  </si>
</sst>
</file>

<file path=xl/styles.xml><?xml version="1.0" encoding="utf-8"?>
<styleSheet xmlns="http://schemas.openxmlformats.org/spreadsheetml/2006/main">
  <numFmts count="15">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000"/>
    <numFmt numFmtId="165" formatCode="#,##0.0"/>
    <numFmt numFmtId="166" formatCode="0.0"/>
    <numFmt numFmtId="167" formatCode="0.00000"/>
    <numFmt numFmtId="168" formatCode="#,##0.00000"/>
    <numFmt numFmtId="169" formatCode="#,##0\ [$€-1];[Red]\-#,##0\ [$€-1]"/>
    <numFmt numFmtId="170" formatCode="#,##0.0000"/>
  </numFmts>
  <fonts count="49">
    <font>
      <sz val="10"/>
      <name val="Arial"/>
      <family val="0"/>
    </font>
    <font>
      <sz val="8"/>
      <name val="Arial"/>
      <family val="0"/>
    </font>
    <font>
      <b/>
      <sz val="10"/>
      <name val="Arial"/>
      <family val="2"/>
    </font>
    <font>
      <b/>
      <sz val="11"/>
      <name val="Arial"/>
      <family val="2"/>
    </font>
    <font>
      <sz val="11"/>
      <name val="Arial"/>
      <family val="2"/>
    </font>
    <font>
      <b/>
      <u val="single"/>
      <sz val="11"/>
      <name val="Arial"/>
      <family val="2"/>
    </font>
    <font>
      <b/>
      <sz val="11"/>
      <name val="Ottawa"/>
      <family val="2"/>
    </font>
    <font>
      <u val="single"/>
      <sz val="10"/>
      <color indexed="12"/>
      <name val="Arial"/>
      <family val="0"/>
    </font>
    <font>
      <b/>
      <sz val="9"/>
      <name val="Arial"/>
      <family val="2"/>
    </font>
    <font>
      <u val="single"/>
      <sz val="11"/>
      <color indexed="12"/>
      <name val="Arial"/>
      <family val="2"/>
    </font>
    <font>
      <b/>
      <sz val="8"/>
      <name val="Arial"/>
      <family val="2"/>
    </font>
    <font>
      <b/>
      <sz val="7"/>
      <name val="Times New Roman"/>
      <family val="1"/>
    </font>
    <font>
      <b/>
      <sz val="9"/>
      <name val="Times New Roman"/>
      <family val="1"/>
    </font>
    <font>
      <sz val="12"/>
      <name val="Arial"/>
      <family val="0"/>
    </font>
    <font>
      <b/>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indexed="11"/>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thin"/>
      <top style="medium"/>
      <bottom style="medium"/>
    </border>
    <border>
      <left style="medium"/>
      <right style="thin"/>
      <top style="medium"/>
      <bottom style="thin"/>
    </border>
    <border>
      <left>
        <color indexed="63"/>
      </left>
      <right>
        <color indexed="63"/>
      </right>
      <top style="medium"/>
      <bottom style="medium"/>
    </border>
    <border>
      <left style="thin"/>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style="medium"/>
    </border>
    <border>
      <left style="thin"/>
      <right style="medium"/>
      <top style="medium"/>
      <bottom style="medium"/>
    </border>
    <border>
      <left style="thin"/>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style="medium"/>
      <right style="thin"/>
      <top>
        <color indexed="63"/>
      </top>
      <bottom>
        <color indexed="63"/>
      </bottom>
    </border>
    <border>
      <left style="medium"/>
      <right style="thin"/>
      <top style="medium"/>
      <bottom style="medium"/>
    </border>
    <border>
      <left style="thin"/>
      <right>
        <color indexed="63"/>
      </right>
      <top>
        <color indexed="63"/>
      </top>
      <bottom>
        <color indexed="63"/>
      </bottom>
    </border>
    <border>
      <left>
        <color indexed="63"/>
      </left>
      <right>
        <color indexed="63"/>
      </right>
      <top>
        <color indexed="63"/>
      </top>
      <bottom style="thin"/>
    </border>
    <border>
      <left style="thin"/>
      <right style="medium"/>
      <top>
        <color indexed="63"/>
      </top>
      <bottom>
        <color indexed="63"/>
      </botto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style="medium"/>
      <top>
        <color indexed="63"/>
      </top>
      <bottom style="medium"/>
    </border>
    <border>
      <left style="medium"/>
      <right style="medium"/>
      <top style="thin"/>
      <bottom style="thin"/>
    </border>
    <border>
      <left style="medium"/>
      <right style="medium"/>
      <top>
        <color indexed="63"/>
      </top>
      <bottom style="thin"/>
    </border>
    <border>
      <left>
        <color indexed="63"/>
      </left>
      <right>
        <color indexed="63"/>
      </right>
      <top>
        <color indexed="63"/>
      </top>
      <bottom style="medium"/>
    </border>
    <border>
      <left style="medium"/>
      <right>
        <color indexed="63"/>
      </right>
      <top style="thin"/>
      <bottom style="thin"/>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style="medium"/>
      <top style="medium"/>
      <bottom>
        <color indexed="63"/>
      </bottom>
    </border>
    <border>
      <left>
        <color indexed="63"/>
      </left>
      <right style="medium"/>
      <top style="medium"/>
      <bottom style="medium"/>
    </border>
    <border>
      <left style="thin"/>
      <right>
        <color indexed="63"/>
      </right>
      <top style="medium"/>
      <bottom style="medium"/>
    </border>
    <border>
      <left>
        <color indexed="63"/>
      </left>
      <right>
        <color indexed="63"/>
      </right>
      <top style="medium"/>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style="thin"/>
      <right>
        <color indexed="63"/>
      </right>
      <top style="medium"/>
      <bottom>
        <color indexed="63"/>
      </bottom>
    </border>
    <border>
      <left style="thin"/>
      <right style="medium"/>
      <top style="medium"/>
      <bottom style="thin"/>
    </border>
    <border>
      <left>
        <color indexed="63"/>
      </left>
      <right style="medium"/>
      <top style="medium"/>
      <bottom>
        <color indexed="63"/>
      </bottom>
    </border>
    <border>
      <left>
        <color indexed="63"/>
      </left>
      <right style="medium"/>
      <top style="thin"/>
      <bottom style="thin"/>
    </border>
    <border>
      <left style="thin"/>
      <right style="thin"/>
      <top>
        <color indexed="63"/>
      </top>
      <bottom style="thin"/>
    </border>
    <border>
      <left style="medium"/>
      <right style="medium"/>
      <top style="medium"/>
      <bottom style="thin"/>
    </border>
    <border>
      <left style="medium"/>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thin"/>
      <top style="medium"/>
      <bottom style="medium"/>
    </border>
    <border>
      <left style="medium"/>
      <right>
        <color indexed="63"/>
      </right>
      <top style="medium"/>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26">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xf>
    <xf numFmtId="0" fontId="0" fillId="0" borderId="0" xfId="0" applyAlignment="1">
      <alignment horizontal="center"/>
    </xf>
    <xf numFmtId="3" fontId="0" fillId="0" borderId="0" xfId="0" applyNumberFormat="1" applyAlignment="1">
      <alignment/>
    </xf>
    <xf numFmtId="0" fontId="3" fillId="0" borderId="0" xfId="0" applyFont="1" applyBorder="1" applyAlignment="1">
      <alignment/>
    </xf>
    <xf numFmtId="0" fontId="4" fillId="0" borderId="0" xfId="0" applyFont="1" applyBorder="1" applyAlignment="1">
      <alignment/>
    </xf>
    <xf numFmtId="4" fontId="4" fillId="0" borderId="0" xfId="0" applyNumberFormat="1" applyFont="1" applyBorder="1" applyAlignment="1">
      <alignment/>
    </xf>
    <xf numFmtId="1" fontId="4" fillId="0" borderId="0" xfId="0" applyNumberFormat="1" applyFont="1" applyBorder="1" applyAlignment="1">
      <alignment/>
    </xf>
    <xf numFmtId="4" fontId="3" fillId="0" borderId="0" xfId="0" applyNumberFormat="1" applyFont="1" applyAlignment="1">
      <alignment horizontal="left"/>
    </xf>
    <xf numFmtId="4" fontId="4" fillId="0" borderId="0" xfId="0" applyNumberFormat="1" applyFont="1" applyBorder="1" applyAlignment="1">
      <alignment horizontal="left"/>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1" fontId="3" fillId="0" borderId="10" xfId="0" applyNumberFormat="1" applyFont="1" applyBorder="1" applyAlignment="1">
      <alignment horizontal="center"/>
    </xf>
    <xf numFmtId="4" fontId="3" fillId="0" borderId="11" xfId="0" applyNumberFormat="1" applyFont="1" applyBorder="1" applyAlignment="1">
      <alignment/>
    </xf>
    <xf numFmtId="1" fontId="3" fillId="0" borderId="12" xfId="0" applyNumberFormat="1" applyFont="1" applyBorder="1" applyAlignment="1">
      <alignment horizontal="center"/>
    </xf>
    <xf numFmtId="4" fontId="3" fillId="0" borderId="13" xfId="0" applyNumberFormat="1" applyFont="1" applyBorder="1" applyAlignment="1">
      <alignment/>
    </xf>
    <xf numFmtId="4" fontId="3" fillId="33" borderId="14" xfId="0" applyNumberFormat="1" applyFont="1" applyFill="1" applyBorder="1" applyAlignment="1">
      <alignment/>
    </xf>
    <xf numFmtId="1" fontId="3" fillId="0" borderId="15" xfId="0" applyNumberFormat="1" applyFont="1" applyBorder="1" applyAlignment="1">
      <alignment horizontal="center"/>
    </xf>
    <xf numFmtId="0" fontId="3" fillId="0" borderId="11" xfId="0" applyFont="1" applyBorder="1" applyAlignment="1">
      <alignment/>
    </xf>
    <xf numFmtId="3" fontId="3" fillId="34" borderId="0" xfId="0" applyNumberFormat="1" applyFont="1" applyFill="1" applyBorder="1" applyAlignment="1">
      <alignment/>
    </xf>
    <xf numFmtId="3" fontId="6" fillId="33" borderId="16" xfId="0" applyNumberFormat="1" applyFont="1" applyFill="1" applyBorder="1" applyAlignment="1">
      <alignment/>
    </xf>
    <xf numFmtId="3" fontId="3" fillId="33" borderId="17" xfId="0" applyNumberFormat="1" applyFont="1" applyFill="1" applyBorder="1" applyAlignment="1">
      <alignment/>
    </xf>
    <xf numFmtId="0" fontId="3" fillId="0" borderId="18" xfId="0" applyFont="1" applyBorder="1" applyAlignment="1">
      <alignment horizontal="center"/>
    </xf>
    <xf numFmtId="0" fontId="3" fillId="34" borderId="18" xfId="0" applyFont="1" applyFill="1" applyBorder="1" applyAlignment="1">
      <alignment horizontal="center"/>
    </xf>
    <xf numFmtId="0" fontId="3" fillId="33" borderId="19" xfId="0" applyFont="1" applyFill="1" applyBorder="1" applyAlignment="1">
      <alignment/>
    </xf>
    <xf numFmtId="0" fontId="3" fillId="33" borderId="20" xfId="0" applyFont="1" applyFill="1" applyBorder="1" applyAlignment="1">
      <alignment/>
    </xf>
    <xf numFmtId="0" fontId="5" fillId="34" borderId="0" xfId="0" applyFont="1" applyFill="1" applyAlignment="1">
      <alignment horizontal="left"/>
    </xf>
    <xf numFmtId="0" fontId="2" fillId="0" borderId="0" xfId="0" applyFont="1" applyAlignment="1">
      <alignment horizontal="center"/>
    </xf>
    <xf numFmtId="3" fontId="3" fillId="0" borderId="0" xfId="0" applyNumberFormat="1" applyFont="1" applyBorder="1" applyAlignment="1">
      <alignment/>
    </xf>
    <xf numFmtId="3" fontId="3" fillId="33" borderId="0" xfId="0" applyNumberFormat="1" applyFont="1" applyFill="1" applyBorder="1" applyAlignment="1">
      <alignment/>
    </xf>
    <xf numFmtId="165" fontId="3" fillId="0" borderId="0" xfId="0" applyNumberFormat="1" applyFont="1" applyBorder="1" applyAlignment="1">
      <alignment/>
    </xf>
    <xf numFmtId="0" fontId="0" fillId="0" borderId="21" xfId="0" applyBorder="1" applyAlignment="1">
      <alignment/>
    </xf>
    <xf numFmtId="3" fontId="3" fillId="0" borderId="21" xfId="0" applyNumberFormat="1" applyFont="1" applyBorder="1" applyAlignment="1">
      <alignment/>
    </xf>
    <xf numFmtId="4" fontId="3" fillId="0" borderId="22" xfId="0" applyNumberFormat="1" applyFont="1" applyBorder="1" applyAlignment="1">
      <alignment/>
    </xf>
    <xf numFmtId="0" fontId="0" fillId="0" borderId="23" xfId="0" applyBorder="1" applyAlignment="1">
      <alignment/>
    </xf>
    <xf numFmtId="0" fontId="3" fillId="0" borderId="23" xfId="0" applyFont="1" applyBorder="1" applyAlignment="1">
      <alignment/>
    </xf>
    <xf numFmtId="1" fontId="3" fillId="0" borderId="20" xfId="0" applyNumberFormat="1" applyFont="1" applyBorder="1" applyAlignment="1">
      <alignment horizontal="center"/>
    </xf>
    <xf numFmtId="3" fontId="3" fillId="33" borderId="16" xfId="0" applyNumberFormat="1" applyFont="1" applyFill="1" applyBorder="1" applyAlignment="1">
      <alignment/>
    </xf>
    <xf numFmtId="0" fontId="0" fillId="33" borderId="16" xfId="0" applyFill="1" applyBorder="1" applyAlignment="1">
      <alignment/>
    </xf>
    <xf numFmtId="1" fontId="3" fillId="33" borderId="20" xfId="0" applyNumberFormat="1" applyFont="1" applyFill="1" applyBorder="1" applyAlignment="1">
      <alignment horizontal="center"/>
    </xf>
    <xf numFmtId="0" fontId="0" fillId="0" borderId="0" xfId="0" applyBorder="1" applyAlignment="1">
      <alignment/>
    </xf>
    <xf numFmtId="4" fontId="3" fillId="33" borderId="20" xfId="0" applyNumberFormat="1" applyFont="1" applyFill="1" applyBorder="1" applyAlignment="1">
      <alignment/>
    </xf>
    <xf numFmtId="1" fontId="3" fillId="0" borderId="20" xfId="0" applyNumberFormat="1" applyFont="1" applyBorder="1" applyAlignment="1">
      <alignment horizontal="center" vertical="center" wrapText="1"/>
    </xf>
    <xf numFmtId="3" fontId="3" fillId="0" borderId="14" xfId="0" applyNumberFormat="1" applyFont="1" applyBorder="1" applyAlignment="1">
      <alignment horizontal="centerContinuous" vertical="center" wrapText="1"/>
    </xf>
    <xf numFmtId="0" fontId="0" fillId="0" borderId="16" xfId="0" applyBorder="1" applyAlignment="1">
      <alignment horizontal="centerContinuous"/>
    </xf>
    <xf numFmtId="0" fontId="2" fillId="0" borderId="16" xfId="0" applyFont="1" applyBorder="1" applyAlignment="1">
      <alignment horizontal="centerContinuous" vertical="center" wrapText="1"/>
    </xf>
    <xf numFmtId="0" fontId="8" fillId="0" borderId="24" xfId="0" applyFont="1" applyBorder="1" applyAlignment="1">
      <alignment horizontal="center" vertical="center" wrapText="1"/>
    </xf>
    <xf numFmtId="4" fontId="3" fillId="0" borderId="25" xfId="0" applyNumberFormat="1" applyFont="1" applyBorder="1" applyAlignment="1">
      <alignment/>
    </xf>
    <xf numFmtId="0" fontId="0" fillId="0" borderId="26" xfId="0" applyBorder="1" applyAlignment="1">
      <alignment/>
    </xf>
    <xf numFmtId="0" fontId="0" fillId="33" borderId="0" xfId="0" applyFill="1" applyBorder="1" applyAlignment="1">
      <alignment/>
    </xf>
    <xf numFmtId="4" fontId="3" fillId="0" borderId="27" xfId="0" applyNumberFormat="1" applyFont="1" applyBorder="1" applyAlignment="1">
      <alignment/>
    </xf>
    <xf numFmtId="3" fontId="3" fillId="34" borderId="26" xfId="0" applyNumberFormat="1" applyFont="1" applyFill="1" applyBorder="1" applyAlignment="1">
      <alignment/>
    </xf>
    <xf numFmtId="3" fontId="3" fillId="0" borderId="26" xfId="0" applyNumberFormat="1" applyFont="1" applyBorder="1" applyAlignment="1">
      <alignment/>
    </xf>
    <xf numFmtId="0" fontId="3" fillId="0" borderId="21" xfId="0" applyFont="1" applyBorder="1" applyAlignment="1">
      <alignment/>
    </xf>
    <xf numFmtId="4" fontId="3" fillId="33" borderId="28" xfId="0" applyNumberFormat="1" applyFont="1" applyFill="1" applyBorder="1" applyAlignment="1">
      <alignment/>
    </xf>
    <xf numFmtId="0" fontId="3" fillId="0" borderId="22" xfId="0" applyFont="1" applyBorder="1" applyAlignment="1">
      <alignment/>
    </xf>
    <xf numFmtId="165" fontId="3" fillId="0" borderId="21" xfId="0" applyNumberFormat="1" applyFont="1" applyBorder="1" applyAlignment="1">
      <alignment/>
    </xf>
    <xf numFmtId="1" fontId="3" fillId="33" borderId="29" xfId="0" applyNumberFormat="1" applyFont="1" applyFill="1" applyBorder="1" applyAlignment="1">
      <alignment/>
    </xf>
    <xf numFmtId="0" fontId="4" fillId="0" borderId="0" xfId="0" applyFont="1" applyAlignment="1">
      <alignment/>
    </xf>
    <xf numFmtId="0" fontId="9" fillId="0" borderId="0" xfId="52" applyFont="1" applyAlignment="1" applyProtection="1">
      <alignment/>
      <protection/>
    </xf>
    <xf numFmtId="0" fontId="4" fillId="0" borderId="0" xfId="0" applyFont="1" applyAlignment="1">
      <alignment horizontal="center"/>
    </xf>
    <xf numFmtId="0" fontId="0" fillId="0" borderId="0" xfId="0" applyFont="1" applyAlignment="1">
      <alignment/>
    </xf>
    <xf numFmtId="0" fontId="4" fillId="0" borderId="0" xfId="0" applyFont="1" applyAlignment="1">
      <alignment horizontal="center"/>
    </xf>
    <xf numFmtId="3" fontId="3" fillId="34" borderId="18" xfId="0" applyNumberFormat="1" applyFont="1" applyFill="1" applyBorder="1" applyAlignment="1">
      <alignment/>
    </xf>
    <xf numFmtId="3" fontId="3" fillId="33" borderId="19" xfId="0" applyNumberFormat="1" applyFont="1" applyFill="1" applyBorder="1" applyAlignment="1">
      <alignment/>
    </xf>
    <xf numFmtId="2" fontId="3" fillId="0" borderId="19" xfId="0" applyNumberFormat="1" applyFont="1" applyBorder="1" applyAlignment="1">
      <alignment horizontal="center" vertical="center" wrapText="1"/>
    </xf>
    <xf numFmtId="0" fontId="4" fillId="34" borderId="0" xfId="0" applyFont="1" applyFill="1" applyBorder="1" applyAlignment="1">
      <alignment/>
    </xf>
    <xf numFmtId="4" fontId="5" fillId="34" borderId="0" xfId="0" applyNumberFormat="1" applyFont="1" applyFill="1" applyBorder="1" applyAlignment="1">
      <alignment/>
    </xf>
    <xf numFmtId="4" fontId="3" fillId="34" borderId="0" xfId="0" applyNumberFormat="1" applyFont="1" applyFill="1" applyBorder="1" applyAlignment="1">
      <alignment/>
    </xf>
    <xf numFmtId="0" fontId="3" fillId="0" borderId="30" xfId="0" applyFont="1" applyBorder="1" applyAlignment="1">
      <alignment/>
    </xf>
    <xf numFmtId="0" fontId="0" fillId="0" borderId="31" xfId="0" applyBorder="1" applyAlignment="1">
      <alignment/>
    </xf>
    <xf numFmtId="3" fontId="2" fillId="0" borderId="0"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3" fontId="2" fillId="0" borderId="32" xfId="0" applyNumberFormat="1" applyFont="1" applyBorder="1" applyAlignment="1">
      <alignment/>
    </xf>
    <xf numFmtId="3" fontId="0" fillId="0" borderId="21" xfId="0" applyNumberFormat="1" applyBorder="1" applyAlignment="1">
      <alignment/>
    </xf>
    <xf numFmtId="0" fontId="0" fillId="0" borderId="33" xfId="0" applyBorder="1" applyAlignment="1">
      <alignment/>
    </xf>
    <xf numFmtId="3" fontId="3" fillId="34" borderId="34" xfId="0" applyNumberFormat="1" applyFont="1" applyFill="1" applyBorder="1" applyAlignment="1">
      <alignment/>
    </xf>
    <xf numFmtId="3" fontId="3" fillId="34" borderId="35" xfId="0" applyNumberFormat="1" applyFont="1" applyFill="1" applyBorder="1" applyAlignment="1">
      <alignment/>
    </xf>
    <xf numFmtId="0" fontId="3" fillId="33" borderId="16" xfId="0" applyFont="1" applyFill="1" applyBorder="1" applyAlignment="1">
      <alignment/>
    </xf>
    <xf numFmtId="0" fontId="0" fillId="0" borderId="16" xfId="0" applyBorder="1" applyAlignment="1">
      <alignment horizontal="center" vertical="center" wrapText="1"/>
    </xf>
    <xf numFmtId="0" fontId="3" fillId="0" borderId="0" xfId="0" applyFont="1" applyAlignment="1">
      <alignment horizontal="left"/>
    </xf>
    <xf numFmtId="0" fontId="4" fillId="0" borderId="0" xfId="0" applyFont="1" applyAlignment="1">
      <alignment horizontal="centerContinuous"/>
    </xf>
    <xf numFmtId="0" fontId="4" fillId="0" borderId="0" xfId="0" applyFont="1" applyAlignment="1">
      <alignment/>
    </xf>
    <xf numFmtId="0" fontId="3" fillId="0" borderId="0" xfId="0" applyFont="1" applyAlignment="1">
      <alignment horizontal="centerContinuous"/>
    </xf>
    <xf numFmtId="0" fontId="2" fillId="0" borderId="33" xfId="0" applyFont="1" applyBorder="1" applyAlignment="1">
      <alignment horizontal="center" vertical="center" wrapText="1"/>
    </xf>
    <xf numFmtId="3" fontId="2" fillId="0" borderId="34" xfId="0" applyNumberFormat="1" applyFont="1" applyBorder="1" applyAlignment="1">
      <alignment/>
    </xf>
    <xf numFmtId="3" fontId="2" fillId="33" borderId="16" xfId="0" applyNumberFormat="1" applyFont="1" applyFill="1" applyBorder="1" applyAlignment="1">
      <alignment vertical="center" wrapText="1"/>
    </xf>
    <xf numFmtId="3" fontId="2" fillId="33" borderId="24" xfId="0" applyNumberFormat="1" applyFont="1" applyFill="1" applyBorder="1" applyAlignment="1">
      <alignment vertical="center" wrapText="1"/>
    </xf>
    <xf numFmtId="3" fontId="2" fillId="0" borderId="26" xfId="0" applyNumberFormat="1" applyFont="1" applyBorder="1" applyAlignment="1">
      <alignment/>
    </xf>
    <xf numFmtId="3" fontId="2" fillId="0" borderId="36" xfId="0" applyNumberFormat="1" applyFont="1" applyBorder="1" applyAlignment="1">
      <alignment/>
    </xf>
    <xf numFmtId="3" fontId="2" fillId="33" borderId="16" xfId="0" applyNumberFormat="1" applyFont="1" applyFill="1" applyBorder="1" applyAlignment="1">
      <alignment/>
    </xf>
    <xf numFmtId="3" fontId="2" fillId="33" borderId="24" xfId="0" applyNumberFormat="1" applyFont="1" applyFill="1" applyBorder="1" applyAlignment="1">
      <alignment/>
    </xf>
    <xf numFmtId="3" fontId="0" fillId="33" borderId="16" xfId="0" applyNumberFormat="1" applyFill="1" applyBorder="1" applyAlignment="1">
      <alignment/>
    </xf>
    <xf numFmtId="3" fontId="0" fillId="0" borderId="32" xfId="0" applyNumberFormat="1" applyBorder="1" applyAlignment="1">
      <alignment/>
    </xf>
    <xf numFmtId="165" fontId="2" fillId="0" borderId="37" xfId="0" applyNumberFormat="1" applyFont="1" applyBorder="1" applyAlignment="1">
      <alignment/>
    </xf>
    <xf numFmtId="165" fontId="2" fillId="0" borderId="38" xfId="0" applyNumberFormat="1" applyFont="1" applyBorder="1" applyAlignment="1">
      <alignment/>
    </xf>
    <xf numFmtId="3" fontId="2" fillId="0" borderId="39" xfId="0" applyNumberFormat="1" applyFont="1" applyBorder="1" applyAlignment="1">
      <alignment/>
    </xf>
    <xf numFmtId="3" fontId="2" fillId="0" borderId="18" xfId="0" applyNumberFormat="1" applyFont="1" applyBorder="1" applyAlignment="1">
      <alignment/>
    </xf>
    <xf numFmtId="3" fontId="3" fillId="34" borderId="38" xfId="0" applyNumberFormat="1" applyFont="1" applyFill="1" applyBorder="1" applyAlignment="1">
      <alignment/>
    </xf>
    <xf numFmtId="0" fontId="3" fillId="0" borderId="37" xfId="0" applyFont="1" applyBorder="1" applyAlignment="1">
      <alignment horizontal="center"/>
    </xf>
    <xf numFmtId="0" fontId="0" fillId="0" borderId="40" xfId="0" applyBorder="1" applyAlignment="1">
      <alignment/>
    </xf>
    <xf numFmtId="0" fontId="3" fillId="0" borderId="38" xfId="0" applyFont="1" applyBorder="1" applyAlignment="1">
      <alignment horizontal="center"/>
    </xf>
    <xf numFmtId="0" fontId="3" fillId="0" borderId="41" xfId="0" applyFont="1" applyBorder="1" applyAlignment="1">
      <alignment/>
    </xf>
    <xf numFmtId="3" fontId="3" fillId="34" borderId="21" xfId="0" applyNumberFormat="1" applyFont="1" applyFill="1" applyBorder="1" applyAlignment="1">
      <alignment/>
    </xf>
    <xf numFmtId="0" fontId="3" fillId="0" borderId="0" xfId="0" applyFont="1" applyBorder="1" applyAlignment="1">
      <alignment horizontal="left"/>
    </xf>
    <xf numFmtId="3" fontId="3" fillId="0" borderId="18" xfId="0" applyNumberFormat="1" applyFont="1" applyBorder="1" applyAlignment="1">
      <alignment/>
    </xf>
    <xf numFmtId="0" fontId="3" fillId="0" borderId="40" xfId="0" applyFont="1" applyBorder="1" applyAlignment="1">
      <alignment/>
    </xf>
    <xf numFmtId="0" fontId="3" fillId="34" borderId="38" xfId="0" applyFont="1" applyFill="1" applyBorder="1" applyAlignment="1">
      <alignment horizontal="center"/>
    </xf>
    <xf numFmtId="0" fontId="3" fillId="34" borderId="21" xfId="0" applyFont="1" applyFill="1" applyBorder="1" applyAlignment="1">
      <alignment/>
    </xf>
    <xf numFmtId="0" fontId="3" fillId="34" borderId="0" xfId="0" applyFont="1" applyFill="1" applyBorder="1" applyAlignment="1">
      <alignment/>
    </xf>
    <xf numFmtId="0" fontId="3" fillId="34" borderId="42" xfId="0" applyFont="1" applyFill="1" applyBorder="1" applyAlignment="1">
      <alignment/>
    </xf>
    <xf numFmtId="165" fontId="3" fillId="34" borderId="0" xfId="0" applyNumberFormat="1" applyFont="1" applyFill="1" applyBorder="1" applyAlignment="1">
      <alignment/>
    </xf>
    <xf numFmtId="165" fontId="3" fillId="34" borderId="18" xfId="0" applyNumberFormat="1" applyFont="1" applyFill="1" applyBorder="1" applyAlignment="1">
      <alignment/>
    </xf>
    <xf numFmtId="165" fontId="3" fillId="34" borderId="40" xfId="0" applyNumberFormat="1" applyFont="1" applyFill="1" applyBorder="1" applyAlignment="1">
      <alignment/>
    </xf>
    <xf numFmtId="165" fontId="3" fillId="0" borderId="40" xfId="0" applyNumberFormat="1" applyFont="1" applyBorder="1" applyAlignment="1">
      <alignment/>
    </xf>
    <xf numFmtId="165" fontId="3" fillId="34" borderId="21" xfId="0" applyNumberFormat="1" applyFont="1" applyFill="1" applyBorder="1" applyAlignment="1">
      <alignment/>
    </xf>
    <xf numFmtId="1" fontId="3" fillId="33" borderId="43" xfId="0" applyNumberFormat="1" applyFont="1" applyFill="1" applyBorder="1" applyAlignment="1">
      <alignment horizontal="center"/>
    </xf>
    <xf numFmtId="4" fontId="3" fillId="33" borderId="44" xfId="0" applyNumberFormat="1" applyFont="1" applyFill="1" applyBorder="1" applyAlignment="1">
      <alignment/>
    </xf>
    <xf numFmtId="0" fontId="0" fillId="33" borderId="31" xfId="0" applyFill="1" applyBorder="1" applyAlignment="1">
      <alignment/>
    </xf>
    <xf numFmtId="3" fontId="4" fillId="33" borderId="31" xfId="0" applyNumberFormat="1" applyFont="1" applyFill="1" applyBorder="1" applyAlignment="1">
      <alignment/>
    </xf>
    <xf numFmtId="0" fontId="4" fillId="33" borderId="31" xfId="0" applyFont="1" applyFill="1" applyBorder="1" applyAlignment="1">
      <alignment/>
    </xf>
    <xf numFmtId="164" fontId="4" fillId="33" borderId="45" xfId="0" applyNumberFormat="1" applyFont="1" applyFill="1" applyBorder="1" applyAlignment="1">
      <alignment/>
    </xf>
    <xf numFmtId="0" fontId="3" fillId="0" borderId="39" xfId="0" applyFont="1" applyBorder="1" applyAlignment="1">
      <alignment horizontal="center"/>
    </xf>
    <xf numFmtId="0" fontId="3" fillId="0" borderId="46" xfId="0" applyFont="1" applyBorder="1" applyAlignment="1">
      <alignment/>
    </xf>
    <xf numFmtId="3" fontId="3" fillId="34" borderId="31" xfId="0" applyNumberFormat="1" applyFont="1" applyFill="1" applyBorder="1" applyAlignment="1">
      <alignment/>
    </xf>
    <xf numFmtId="3" fontId="3" fillId="0" borderId="31" xfId="0" applyNumberFormat="1" applyFont="1" applyBorder="1" applyAlignment="1">
      <alignment/>
    </xf>
    <xf numFmtId="3" fontId="3" fillId="0" borderId="39" xfId="0" applyNumberFormat="1" applyFont="1" applyBorder="1" applyAlignment="1">
      <alignment/>
    </xf>
    <xf numFmtId="0" fontId="4" fillId="0" borderId="0" xfId="0" applyFont="1" applyAlignment="1">
      <alignment horizontal="centerContinuous"/>
    </xf>
    <xf numFmtId="164" fontId="10" fillId="0" borderId="11" xfId="0" applyNumberFormat="1" applyFont="1" applyBorder="1" applyAlignment="1">
      <alignment/>
    </xf>
    <xf numFmtId="3" fontId="10" fillId="0" borderId="0" xfId="0" applyNumberFormat="1" applyFont="1" applyAlignment="1">
      <alignment/>
    </xf>
    <xf numFmtId="0" fontId="2" fillId="0" borderId="27" xfId="0" applyFont="1" applyBorder="1" applyAlignment="1">
      <alignment/>
    </xf>
    <xf numFmtId="0" fontId="8" fillId="0" borderId="19" xfId="0" applyFont="1" applyBorder="1" applyAlignment="1">
      <alignment horizontal="center" vertical="center" wrapText="1"/>
    </xf>
    <xf numFmtId="164" fontId="4" fillId="33" borderId="39" xfId="0" applyNumberFormat="1" applyFont="1" applyFill="1" applyBorder="1" applyAlignment="1">
      <alignment/>
    </xf>
    <xf numFmtId="3" fontId="3" fillId="34" borderId="39" xfId="0" applyNumberFormat="1" applyFont="1" applyFill="1" applyBorder="1" applyAlignment="1">
      <alignment/>
    </xf>
    <xf numFmtId="3" fontId="3" fillId="33" borderId="47" xfId="0" applyNumberFormat="1" applyFont="1" applyFill="1" applyBorder="1" applyAlignment="1">
      <alignment/>
    </xf>
    <xf numFmtId="3" fontId="4" fillId="33" borderId="16" xfId="0" applyNumberFormat="1" applyFont="1" applyFill="1" applyBorder="1" applyAlignment="1">
      <alignment/>
    </xf>
    <xf numFmtId="3" fontId="4" fillId="33" borderId="48" xfId="0" applyNumberFormat="1" applyFont="1" applyFill="1" applyBorder="1" applyAlignment="1">
      <alignment/>
    </xf>
    <xf numFmtId="1" fontId="3" fillId="0" borderId="28" xfId="0" applyNumberFormat="1" applyFont="1" applyBorder="1" applyAlignment="1">
      <alignment horizontal="center"/>
    </xf>
    <xf numFmtId="0" fontId="0" fillId="33" borderId="14" xfId="0" applyFill="1" applyBorder="1" applyAlignment="1">
      <alignment/>
    </xf>
    <xf numFmtId="3" fontId="6" fillId="33" borderId="49" xfId="0" applyNumberFormat="1" applyFont="1" applyFill="1" applyBorder="1" applyAlignment="1">
      <alignment/>
    </xf>
    <xf numFmtId="0" fontId="0" fillId="0" borderId="21" xfId="0" applyBorder="1" applyAlignment="1">
      <alignment vertical="center"/>
    </xf>
    <xf numFmtId="3" fontId="2" fillId="0" borderId="50" xfId="0" applyNumberFormat="1" applyFont="1" applyBorder="1" applyAlignment="1">
      <alignment/>
    </xf>
    <xf numFmtId="3" fontId="2" fillId="33" borderId="19" xfId="0" applyNumberFormat="1" applyFont="1" applyFill="1" applyBorder="1" applyAlignment="1">
      <alignment vertical="center" wrapText="1"/>
    </xf>
    <xf numFmtId="3" fontId="2" fillId="0" borderId="51" xfId="0" applyNumberFormat="1" applyFont="1" applyBorder="1" applyAlignment="1">
      <alignment/>
    </xf>
    <xf numFmtId="3" fontId="2" fillId="33" borderId="19" xfId="0" applyNumberFormat="1" applyFont="1" applyFill="1" applyBorder="1" applyAlignment="1">
      <alignment/>
    </xf>
    <xf numFmtId="3" fontId="0" fillId="0" borderId="39" xfId="0" applyNumberFormat="1" applyFont="1" applyBorder="1" applyAlignment="1">
      <alignment/>
    </xf>
    <xf numFmtId="3" fontId="0" fillId="0" borderId="38" xfId="0" applyNumberFormat="1" applyBorder="1" applyAlignment="1">
      <alignment/>
    </xf>
    <xf numFmtId="3" fontId="0" fillId="0" borderId="18" xfId="0" applyNumberFormat="1" applyBorder="1" applyAlignment="1">
      <alignment/>
    </xf>
    <xf numFmtId="0" fontId="10" fillId="0" borderId="0" xfId="0" applyFont="1" applyAlignment="1">
      <alignment/>
    </xf>
    <xf numFmtId="3" fontId="2" fillId="0" borderId="0" xfId="0" applyNumberFormat="1" applyFont="1" applyAlignment="1">
      <alignment horizontal="center"/>
    </xf>
    <xf numFmtId="3" fontId="2" fillId="0" borderId="0" xfId="0" applyNumberFormat="1" applyFont="1" applyAlignment="1">
      <alignment/>
    </xf>
    <xf numFmtId="164" fontId="2" fillId="0" borderId="11" xfId="0" applyNumberFormat="1" applyFont="1" applyBorder="1" applyAlignment="1">
      <alignment/>
    </xf>
    <xf numFmtId="3" fontId="3" fillId="0" borderId="38" xfId="0" applyNumberFormat="1" applyFont="1" applyBorder="1" applyAlignment="1">
      <alignment/>
    </xf>
    <xf numFmtId="165" fontId="3" fillId="0" borderId="38" xfId="0" applyNumberFormat="1" applyFont="1" applyBorder="1" applyAlignment="1">
      <alignment/>
    </xf>
    <xf numFmtId="165" fontId="3" fillId="0" borderId="37" xfId="0" applyNumberFormat="1" applyFont="1" applyBorder="1" applyAlignment="1">
      <alignment/>
    </xf>
    <xf numFmtId="164" fontId="2" fillId="0" borderId="27" xfId="0" applyNumberFormat="1" applyFont="1" applyBorder="1" applyAlignment="1">
      <alignment/>
    </xf>
    <xf numFmtId="164" fontId="2" fillId="0" borderId="52" xfId="0" applyNumberFormat="1" applyFont="1" applyBorder="1" applyAlignment="1">
      <alignment/>
    </xf>
    <xf numFmtId="165" fontId="2" fillId="33" borderId="27" xfId="0" applyNumberFormat="1" applyFont="1" applyFill="1" applyBorder="1" applyAlignment="1">
      <alignment/>
    </xf>
    <xf numFmtId="164" fontId="2" fillId="0" borderId="53" xfId="0" applyNumberFormat="1" applyFont="1" applyBorder="1" applyAlignment="1">
      <alignment/>
    </xf>
    <xf numFmtId="3" fontId="2" fillId="0" borderId="27" xfId="0" applyNumberFormat="1" applyFont="1" applyBorder="1" applyAlignment="1">
      <alignment/>
    </xf>
    <xf numFmtId="3" fontId="2" fillId="0" borderId="0" xfId="0" applyNumberFormat="1" applyFont="1" applyAlignment="1">
      <alignment horizontal="center" vertical="center" wrapText="1"/>
    </xf>
    <xf numFmtId="164" fontId="10" fillId="0" borderId="41" xfId="0" applyNumberFormat="1" applyFont="1" applyBorder="1" applyAlignment="1">
      <alignment/>
    </xf>
    <xf numFmtId="164" fontId="10" fillId="0" borderId="54" xfId="0" applyNumberFormat="1" applyFont="1" applyBorder="1" applyAlignment="1">
      <alignment/>
    </xf>
    <xf numFmtId="0" fontId="4" fillId="0" borderId="0" xfId="0" applyFont="1" applyAlignment="1">
      <alignment horizontal="justify" vertical="top" wrapText="1"/>
    </xf>
    <xf numFmtId="3" fontId="0" fillId="0" borderId="38" xfId="0" applyNumberFormat="1" applyFont="1" applyBorder="1" applyAlignment="1">
      <alignment/>
    </xf>
    <xf numFmtId="3" fontId="2" fillId="0" borderId="11" xfId="0" applyNumberFormat="1" applyFont="1" applyBorder="1" applyAlignment="1">
      <alignment/>
    </xf>
    <xf numFmtId="0" fontId="13" fillId="0" borderId="0" xfId="0" applyFont="1" applyAlignment="1">
      <alignment/>
    </xf>
    <xf numFmtId="3" fontId="2" fillId="0" borderId="35" xfId="0" applyNumberFormat="1" applyFont="1" applyBorder="1" applyAlignment="1">
      <alignment/>
    </xf>
    <xf numFmtId="0" fontId="2" fillId="0" borderId="10" xfId="0" applyFont="1" applyBorder="1" applyAlignment="1">
      <alignment/>
    </xf>
    <xf numFmtId="0" fontId="2" fillId="0" borderId="55" xfId="0" applyFont="1" applyBorder="1" applyAlignment="1">
      <alignment/>
    </xf>
    <xf numFmtId="3" fontId="2" fillId="0" borderId="56" xfId="0" applyNumberFormat="1" applyFont="1" applyBorder="1" applyAlignment="1">
      <alignment/>
    </xf>
    <xf numFmtId="1" fontId="10" fillId="0" borderId="29" xfId="0" applyNumberFormat="1" applyFont="1" applyBorder="1" applyAlignment="1">
      <alignment horizontal="center"/>
    </xf>
    <xf numFmtId="3" fontId="10" fillId="0" borderId="14" xfId="0" applyNumberFormat="1" applyFont="1" applyBorder="1" applyAlignment="1">
      <alignment horizontal="centerContinuous" vertical="center" wrapText="1"/>
    </xf>
    <xf numFmtId="0" fontId="10" fillId="0" borderId="16" xfId="0" applyFont="1" applyBorder="1" applyAlignment="1">
      <alignment horizontal="centerContinuous"/>
    </xf>
    <xf numFmtId="0" fontId="10" fillId="0" borderId="16" xfId="0" applyFont="1" applyBorder="1" applyAlignment="1">
      <alignment horizontal="centerContinuous" vertical="center" wrapText="1"/>
    </xf>
    <xf numFmtId="3" fontId="10" fillId="34" borderId="19" xfId="0" applyNumberFormat="1" applyFont="1" applyFill="1" applyBorder="1" applyAlignment="1">
      <alignment horizontal="center"/>
    </xf>
    <xf numFmtId="3" fontId="10" fillId="34" borderId="24" xfId="0" applyNumberFormat="1" applyFont="1" applyFill="1" applyBorder="1" applyAlignment="1">
      <alignment horizontal="center"/>
    </xf>
    <xf numFmtId="0" fontId="10" fillId="0" borderId="19" xfId="0" applyFont="1" applyBorder="1" applyAlignment="1">
      <alignment horizontal="center"/>
    </xf>
    <xf numFmtId="0" fontId="10" fillId="0" borderId="47" xfId="0" applyFont="1" applyBorder="1" applyAlignment="1">
      <alignment horizontal="center"/>
    </xf>
    <xf numFmtId="0" fontId="2" fillId="33" borderId="19" xfId="0" applyFont="1" applyFill="1" applyBorder="1" applyAlignment="1">
      <alignment horizontal="center"/>
    </xf>
    <xf numFmtId="0" fontId="0" fillId="0" borderId="43" xfId="0" applyBorder="1" applyAlignment="1">
      <alignment horizontal="center"/>
    </xf>
    <xf numFmtId="0" fontId="0" fillId="0" borderId="10" xfId="0" applyBorder="1" applyAlignment="1">
      <alignment horizontal="center"/>
    </xf>
    <xf numFmtId="0" fontId="2" fillId="33" borderId="47" xfId="0" applyFont="1" applyFill="1" applyBorder="1" applyAlignment="1">
      <alignment horizontal="center"/>
    </xf>
    <xf numFmtId="0" fontId="2" fillId="0" borderId="19" xfId="0" applyFont="1" applyBorder="1" applyAlignment="1">
      <alignment horizontal="center"/>
    </xf>
    <xf numFmtId="0" fontId="0" fillId="0" borderId="16" xfId="0" applyBorder="1" applyAlignment="1">
      <alignment/>
    </xf>
    <xf numFmtId="3" fontId="2" fillId="0" borderId="16" xfId="0" applyNumberFormat="1" applyFont="1" applyBorder="1" applyAlignment="1">
      <alignment/>
    </xf>
    <xf numFmtId="3" fontId="2" fillId="0" borderId="24" xfId="0" applyNumberFormat="1" applyFont="1" applyBorder="1" applyAlignment="1">
      <alignment/>
    </xf>
    <xf numFmtId="16" fontId="0" fillId="0" borderId="39" xfId="0" applyNumberFormat="1" applyFont="1" applyBorder="1" applyAlignment="1" quotePrefix="1">
      <alignment horizontal="center"/>
    </xf>
    <xf numFmtId="3" fontId="0" fillId="0" borderId="34" xfId="0" applyNumberFormat="1" applyFont="1" applyBorder="1" applyAlignment="1">
      <alignment/>
    </xf>
    <xf numFmtId="3" fontId="0" fillId="0" borderId="51" xfId="0" applyNumberFormat="1" applyBorder="1" applyAlignment="1">
      <alignment/>
    </xf>
    <xf numFmtId="3" fontId="2" fillId="0" borderId="19" xfId="0" applyNumberFormat="1" applyFont="1" applyBorder="1" applyAlignment="1">
      <alignment/>
    </xf>
    <xf numFmtId="0" fontId="0" fillId="0" borderId="38" xfId="0" applyBorder="1" applyAlignment="1">
      <alignment/>
    </xf>
    <xf numFmtId="3" fontId="2" fillId="0" borderId="54" xfId="0" applyNumberFormat="1" applyFont="1" applyBorder="1" applyAlignment="1">
      <alignment/>
    </xf>
    <xf numFmtId="164" fontId="10" fillId="0" borderId="19" xfId="0" applyNumberFormat="1" applyFont="1" applyBorder="1" applyAlignment="1">
      <alignment/>
    </xf>
    <xf numFmtId="4" fontId="2" fillId="0" borderId="0" xfId="0" applyNumberFormat="1" applyFont="1" applyAlignment="1">
      <alignment/>
    </xf>
    <xf numFmtId="3" fontId="2" fillId="0" borderId="0" xfId="0" applyNumberFormat="1" applyFont="1" applyAlignment="1">
      <alignment horizontal="right"/>
    </xf>
    <xf numFmtId="164" fontId="2" fillId="0" borderId="11" xfId="0" applyNumberFormat="1" applyFont="1" applyBorder="1" applyAlignment="1">
      <alignment/>
    </xf>
    <xf numFmtId="164" fontId="2" fillId="0" borderId="0" xfId="0" applyNumberFormat="1" applyFont="1" applyAlignment="1">
      <alignment/>
    </xf>
    <xf numFmtId="0" fontId="0" fillId="0" borderId="0" xfId="0" applyFont="1" applyAlignment="1">
      <alignment/>
    </xf>
    <xf numFmtId="164" fontId="14" fillId="0" borderId="11" xfId="0" applyNumberFormat="1" applyFont="1" applyBorder="1" applyAlignment="1">
      <alignment horizontal="center" vertical="center" wrapText="1"/>
    </xf>
    <xf numFmtId="4" fontId="2" fillId="0" borderId="13" xfId="0" applyNumberFormat="1" applyFont="1" applyBorder="1" applyAlignment="1">
      <alignment/>
    </xf>
    <xf numFmtId="3" fontId="2" fillId="33" borderId="57" xfId="0" applyNumberFormat="1" applyFont="1" applyFill="1" applyBorder="1" applyAlignment="1">
      <alignment/>
    </xf>
    <xf numFmtId="4" fontId="2" fillId="0" borderId="22" xfId="0" applyNumberFormat="1" applyFont="1" applyBorder="1" applyAlignment="1">
      <alignment/>
    </xf>
    <xf numFmtId="164" fontId="2" fillId="33" borderId="11" xfId="0" applyNumberFormat="1" applyFont="1" applyFill="1" applyBorder="1" applyAlignment="1">
      <alignment/>
    </xf>
    <xf numFmtId="4" fontId="2" fillId="0" borderId="27" xfId="0" applyNumberFormat="1" applyFont="1" applyBorder="1" applyAlignment="1">
      <alignment/>
    </xf>
    <xf numFmtId="4" fontId="2" fillId="0" borderId="11" xfId="0" applyNumberFormat="1" applyFont="1" applyBorder="1" applyAlignment="1">
      <alignment/>
    </xf>
    <xf numFmtId="164" fontId="2" fillId="35" borderId="11" xfId="0" applyNumberFormat="1" applyFont="1" applyFill="1" applyBorder="1" applyAlignment="1">
      <alignment/>
    </xf>
    <xf numFmtId="0" fontId="2" fillId="0" borderId="11" xfId="0" applyFont="1" applyBorder="1" applyAlignment="1">
      <alignment/>
    </xf>
    <xf numFmtId="0" fontId="2" fillId="0" borderId="30" xfId="0" applyFont="1" applyBorder="1" applyAlignment="1">
      <alignment/>
    </xf>
    <xf numFmtId="0" fontId="2" fillId="0" borderId="22" xfId="0" applyFont="1" applyBorder="1" applyAlignment="1">
      <alignment/>
    </xf>
    <xf numFmtId="0" fontId="2" fillId="0" borderId="13" xfId="0" applyFont="1" applyBorder="1" applyAlignment="1">
      <alignment/>
    </xf>
    <xf numFmtId="164" fontId="0" fillId="0" borderId="0" xfId="0" applyNumberFormat="1" applyFont="1" applyAlignment="1">
      <alignment/>
    </xf>
    <xf numFmtId="3" fontId="0" fillId="0" borderId="0" xfId="0" applyNumberFormat="1" applyFont="1" applyAlignment="1">
      <alignment/>
    </xf>
    <xf numFmtId="164" fontId="2" fillId="0" borderId="15" xfId="0" applyNumberFormat="1" applyFont="1" applyBorder="1" applyAlignment="1">
      <alignment horizontal="center" vertical="center" wrapText="1"/>
    </xf>
    <xf numFmtId="0" fontId="2" fillId="0" borderId="58" xfId="0" applyFont="1" applyBorder="1" applyAlignment="1">
      <alignment horizontal="center" vertical="center" wrapText="1"/>
    </xf>
    <xf numFmtId="0" fontId="0" fillId="0" borderId="59" xfId="0" applyFont="1" applyBorder="1" applyAlignment="1">
      <alignment horizontal="center" vertical="center" wrapText="1"/>
    </xf>
    <xf numFmtId="164" fontId="2" fillId="0" borderId="10" xfId="0" applyNumberFormat="1" applyFont="1" applyBorder="1" applyAlignment="1">
      <alignment/>
    </xf>
    <xf numFmtId="0" fontId="0" fillId="0" borderId="35" xfId="0" applyFont="1" applyBorder="1" applyAlignment="1">
      <alignment/>
    </xf>
    <xf numFmtId="0" fontId="0" fillId="0" borderId="60" xfId="0" applyFont="1" applyBorder="1" applyAlignment="1">
      <alignment/>
    </xf>
    <xf numFmtId="3" fontId="14" fillId="0" borderId="44" xfId="0" applyNumberFormat="1" applyFont="1" applyBorder="1" applyAlignment="1">
      <alignment/>
    </xf>
    <xf numFmtId="164" fontId="2" fillId="33" borderId="10" xfId="0" applyNumberFormat="1" applyFont="1" applyFill="1" applyBorder="1" applyAlignment="1">
      <alignment/>
    </xf>
    <xf numFmtId="164" fontId="2" fillId="0" borderId="35" xfId="0" applyNumberFormat="1" applyFont="1" applyBorder="1" applyAlignment="1">
      <alignment/>
    </xf>
    <xf numFmtId="164" fontId="2" fillId="0" borderId="45" xfId="0" applyNumberFormat="1" applyFont="1" applyBorder="1" applyAlignment="1">
      <alignment/>
    </xf>
    <xf numFmtId="3" fontId="14" fillId="0" borderId="27" xfId="0" applyNumberFormat="1" applyFont="1" applyBorder="1" applyAlignment="1">
      <alignment/>
    </xf>
    <xf numFmtId="164" fontId="2" fillId="0" borderId="60" xfId="0" applyNumberFormat="1" applyFont="1" applyBorder="1" applyAlignment="1">
      <alignment/>
    </xf>
    <xf numFmtId="164" fontId="2" fillId="35" borderId="35" xfId="0" applyNumberFormat="1" applyFont="1" applyFill="1" applyBorder="1" applyAlignment="1">
      <alignment/>
    </xf>
    <xf numFmtId="164" fontId="14" fillId="33" borderId="53" xfId="0" applyNumberFormat="1" applyFont="1" applyFill="1" applyBorder="1" applyAlignment="1">
      <alignment horizontal="right"/>
    </xf>
    <xf numFmtId="3" fontId="2" fillId="0" borderId="11" xfId="0" applyNumberFormat="1" applyFont="1" applyFill="1" applyBorder="1" applyAlignment="1">
      <alignment/>
    </xf>
    <xf numFmtId="164" fontId="2" fillId="0" borderId="61" xfId="0" applyNumberFormat="1" applyFont="1" applyBorder="1" applyAlignment="1">
      <alignment/>
    </xf>
    <xf numFmtId="0" fontId="0" fillId="0" borderId="61" xfId="0" applyFont="1" applyBorder="1" applyAlignment="1">
      <alignment/>
    </xf>
    <xf numFmtId="164" fontId="0" fillId="0" borderId="61" xfId="0" applyNumberFormat="1" applyFont="1" applyFill="1" applyBorder="1" applyAlignment="1">
      <alignment/>
    </xf>
    <xf numFmtId="0" fontId="0" fillId="0" borderId="11" xfId="0" applyFont="1" applyBorder="1" applyAlignment="1">
      <alignment/>
    </xf>
    <xf numFmtId="3" fontId="2" fillId="0" borderId="0" xfId="0" applyNumberFormat="1" applyFont="1" applyFill="1" applyBorder="1" applyAlignment="1">
      <alignment/>
    </xf>
    <xf numFmtId="164" fontId="2" fillId="0" borderId="0" xfId="0" applyNumberFormat="1" applyFont="1" applyBorder="1" applyAlignment="1">
      <alignment/>
    </xf>
    <xf numFmtId="0" fontId="0" fillId="0" borderId="0" xfId="0" applyFont="1" applyBorder="1" applyAlignment="1">
      <alignment/>
    </xf>
    <xf numFmtId="164" fontId="0" fillId="0" borderId="0" xfId="0" applyNumberFormat="1" applyFont="1" applyFill="1" applyBorder="1" applyAlignment="1">
      <alignment/>
    </xf>
    <xf numFmtId="164" fontId="2" fillId="0" borderId="17" xfId="0" applyNumberFormat="1" applyFont="1" applyBorder="1" applyAlignment="1">
      <alignment horizontal="center" vertical="center" wrapText="1"/>
    </xf>
    <xf numFmtId="0" fontId="2" fillId="0" borderId="57"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4" xfId="0" applyFont="1" applyBorder="1" applyAlignment="1">
      <alignment horizontal="center" vertical="center" wrapText="1"/>
    </xf>
    <xf numFmtId="164" fontId="2" fillId="0" borderId="33" xfId="0" applyNumberFormat="1" applyFont="1" applyBorder="1" applyAlignment="1">
      <alignment horizontal="center" vertical="center" wrapText="1"/>
    </xf>
    <xf numFmtId="0" fontId="2" fillId="0" borderId="33" xfId="0" applyFont="1" applyBorder="1" applyAlignment="1">
      <alignment horizontal="center" vertical="center" wrapText="1"/>
    </xf>
    <xf numFmtId="0" fontId="2" fillId="0" borderId="42"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2" xfId="0" applyFont="1" applyBorder="1" applyAlignment="1">
      <alignment horizontal="center" vertical="center" wrapText="1"/>
    </xf>
    <xf numFmtId="3" fontId="14" fillId="0" borderId="62" xfId="0" applyNumberFormat="1" applyFont="1" applyBorder="1" applyAlignment="1">
      <alignment/>
    </xf>
    <xf numFmtId="164" fontId="2" fillId="0" borderId="50" xfId="0" applyNumberFormat="1" applyFont="1" applyBorder="1" applyAlignment="1">
      <alignment/>
    </xf>
    <xf numFmtId="164" fontId="2" fillId="0" borderId="62" xfId="0" applyNumberFormat="1" applyFont="1" applyBorder="1" applyAlignment="1">
      <alignment/>
    </xf>
    <xf numFmtId="164" fontId="2" fillId="0" borderId="41" xfId="0" applyNumberFormat="1" applyFont="1" applyBorder="1" applyAlignment="1">
      <alignment/>
    </xf>
    <xf numFmtId="3" fontId="14" fillId="0" borderId="38" xfId="0" applyNumberFormat="1" applyFont="1" applyBorder="1" applyAlignment="1">
      <alignment/>
    </xf>
    <xf numFmtId="164" fontId="2" fillId="0" borderId="21" xfId="0" applyNumberFormat="1" applyFont="1" applyBorder="1" applyAlignment="1">
      <alignment/>
    </xf>
    <xf numFmtId="164" fontId="2" fillId="0" borderId="38" xfId="0" applyNumberFormat="1" applyFont="1" applyBorder="1" applyAlignment="1">
      <alignment/>
    </xf>
    <xf numFmtId="3" fontId="2" fillId="0" borderId="38" xfId="0" applyNumberFormat="1" applyFont="1" applyBorder="1" applyAlignment="1">
      <alignment/>
    </xf>
    <xf numFmtId="3" fontId="2" fillId="0" borderId="51" xfId="0" applyNumberFormat="1" applyFont="1" applyBorder="1" applyAlignment="1">
      <alignment/>
    </xf>
    <xf numFmtId="164" fontId="2" fillId="0" borderId="26" xfId="0" applyNumberFormat="1" applyFont="1" applyBorder="1" applyAlignment="1">
      <alignment/>
    </xf>
    <xf numFmtId="164" fontId="2" fillId="0" borderId="51" xfId="0" applyNumberFormat="1" applyFont="1" applyBorder="1" applyAlignment="1">
      <alignment/>
    </xf>
    <xf numFmtId="164" fontId="2" fillId="0" borderId="63" xfId="0" applyNumberFormat="1" applyFont="1" applyBorder="1" applyAlignment="1">
      <alignment/>
    </xf>
    <xf numFmtId="3" fontId="14" fillId="33" borderId="19" xfId="0" applyNumberFormat="1" applyFont="1" applyFill="1" applyBorder="1" applyAlignment="1">
      <alignment/>
    </xf>
    <xf numFmtId="3" fontId="2" fillId="0" borderId="39" xfId="0" applyNumberFormat="1" applyFont="1" applyFill="1" applyBorder="1" applyAlignment="1">
      <alignment/>
    </xf>
    <xf numFmtId="164" fontId="2" fillId="0" borderId="64" xfId="0" applyNumberFormat="1" applyFont="1" applyBorder="1" applyAlignment="1">
      <alignment/>
    </xf>
    <xf numFmtId="0" fontId="0" fillId="0" borderId="44" xfId="0" applyFont="1" applyBorder="1" applyAlignment="1">
      <alignment/>
    </xf>
    <xf numFmtId="164" fontId="0" fillId="0" borderId="39" xfId="0" applyNumberFormat="1" applyFont="1" applyFill="1" applyBorder="1" applyAlignment="1">
      <alignment/>
    </xf>
    <xf numFmtId="3" fontId="2" fillId="0" borderId="38" xfId="0" applyNumberFormat="1" applyFont="1" applyFill="1" applyBorder="1" applyAlignment="1">
      <alignment/>
    </xf>
    <xf numFmtId="164" fontId="2" fillId="0" borderId="53" xfId="0" applyNumberFormat="1" applyFont="1" applyBorder="1" applyAlignment="1">
      <alignment/>
    </xf>
    <xf numFmtId="0" fontId="0" fillId="0" borderId="27" xfId="0" applyFont="1" applyBorder="1" applyAlignment="1">
      <alignment/>
    </xf>
    <xf numFmtId="164" fontId="2" fillId="0" borderId="38" xfId="0" applyNumberFormat="1" applyFont="1" applyFill="1" applyBorder="1" applyAlignment="1">
      <alignment/>
    </xf>
    <xf numFmtId="3" fontId="2"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xf>
    <xf numFmtId="164" fontId="0" fillId="0" borderId="0" xfId="0" applyNumberFormat="1" applyFont="1" applyAlignment="1">
      <alignment/>
    </xf>
    <xf numFmtId="164" fontId="0" fillId="0" borderId="11" xfId="0" applyNumberFormat="1" applyFont="1" applyBorder="1" applyAlignment="1">
      <alignment/>
    </xf>
    <xf numFmtId="0" fontId="0" fillId="0" borderId="11" xfId="0" applyFont="1" applyBorder="1" applyAlignment="1">
      <alignment vertical="center"/>
    </xf>
    <xf numFmtId="164" fontId="0" fillId="0" borderId="11" xfId="0" applyNumberFormat="1" applyFont="1" applyBorder="1" applyAlignment="1">
      <alignment vertical="center"/>
    </xf>
    <xf numFmtId="164" fontId="0" fillId="0" borderId="13" xfId="0" applyNumberFormat="1" applyFont="1" applyBorder="1" applyAlignment="1">
      <alignment/>
    </xf>
    <xf numFmtId="164" fontId="12" fillId="33" borderId="16" xfId="0" applyNumberFormat="1" applyFont="1" applyFill="1" applyBorder="1" applyAlignment="1">
      <alignment horizontal="right"/>
    </xf>
    <xf numFmtId="164" fontId="12" fillId="33" borderId="19" xfId="0" applyNumberFormat="1" applyFont="1" applyFill="1" applyBorder="1" applyAlignment="1">
      <alignment horizontal="right"/>
    </xf>
    <xf numFmtId="164" fontId="12" fillId="33" borderId="19" xfId="0" applyNumberFormat="1" applyFont="1" applyFill="1" applyBorder="1" applyAlignment="1">
      <alignment/>
    </xf>
    <xf numFmtId="164" fontId="11" fillId="0" borderId="0" xfId="0" applyNumberFormat="1" applyFont="1" applyAlignment="1">
      <alignment wrapText="1"/>
    </xf>
    <xf numFmtId="164" fontId="8" fillId="0" borderId="38" xfId="0" applyNumberFormat="1" applyFont="1" applyBorder="1" applyAlignment="1">
      <alignment/>
    </xf>
    <xf numFmtId="164" fontId="8" fillId="0" borderId="21" xfId="0" applyNumberFormat="1" applyFont="1" applyBorder="1" applyAlignment="1">
      <alignment/>
    </xf>
    <xf numFmtId="0" fontId="8" fillId="0" borderId="43" xfId="0" applyFont="1" applyBorder="1" applyAlignment="1">
      <alignment horizontal="center"/>
    </xf>
    <xf numFmtId="164" fontId="2" fillId="0" borderId="11" xfId="0" applyNumberFormat="1" applyFont="1" applyFill="1" applyBorder="1" applyAlignment="1">
      <alignment/>
    </xf>
    <xf numFmtId="3" fontId="2" fillId="0" borderId="52" xfId="0" applyNumberFormat="1" applyFont="1" applyBorder="1" applyAlignment="1">
      <alignment/>
    </xf>
    <xf numFmtId="164" fontId="2" fillId="0" borderId="12" xfId="0" applyNumberFormat="1" applyFont="1" applyBorder="1" applyAlignment="1">
      <alignment/>
    </xf>
    <xf numFmtId="164" fontId="0" fillId="0" borderId="36" xfId="0" applyNumberFormat="1" applyFont="1" applyBorder="1" applyAlignment="1">
      <alignment/>
    </xf>
    <xf numFmtId="164" fontId="0" fillId="0" borderId="65" xfId="0" applyNumberFormat="1" applyFont="1" applyBorder="1" applyAlignment="1">
      <alignment/>
    </xf>
    <xf numFmtId="3" fontId="2" fillId="0" borderId="61" xfId="0" applyNumberFormat="1" applyFont="1" applyFill="1" applyBorder="1" applyAlignment="1">
      <alignment/>
    </xf>
    <xf numFmtId="3" fontId="14" fillId="33" borderId="20" xfId="0" applyNumberFormat="1" applyFont="1" applyFill="1" applyBorder="1" applyAlignment="1">
      <alignment/>
    </xf>
    <xf numFmtId="164" fontId="14" fillId="33" borderId="29" xfId="0" applyNumberFormat="1" applyFont="1" applyFill="1" applyBorder="1" applyAlignment="1">
      <alignment horizontal="right"/>
    </xf>
    <xf numFmtId="164" fontId="14" fillId="33" borderId="24" xfId="0" applyNumberFormat="1" applyFont="1" applyFill="1" applyBorder="1" applyAlignment="1">
      <alignment horizontal="right"/>
    </xf>
    <xf numFmtId="164" fontId="14" fillId="33" borderId="48" xfId="0" applyNumberFormat="1" applyFont="1" applyFill="1" applyBorder="1" applyAlignment="1">
      <alignment/>
    </xf>
    <xf numFmtId="0" fontId="0" fillId="0" borderId="0" xfId="0" applyFont="1" applyBorder="1" applyAlignment="1">
      <alignment vertical="center" wrapText="1"/>
    </xf>
    <xf numFmtId="164" fontId="0" fillId="0" borderId="0" xfId="0" applyNumberFormat="1" applyFont="1" applyBorder="1" applyAlignment="1">
      <alignment/>
    </xf>
    <xf numFmtId="0" fontId="4" fillId="0" borderId="0" xfId="0" applyFont="1" applyAlignment="1">
      <alignment horizontal="justify" vertical="top" wrapText="1"/>
    </xf>
    <xf numFmtId="0" fontId="0" fillId="0" borderId="11" xfId="0" applyFont="1" applyBorder="1" applyAlignment="1">
      <alignment vertical="center" wrapText="1"/>
    </xf>
    <xf numFmtId="0" fontId="2" fillId="33" borderId="66" xfId="0" applyFont="1" applyFill="1" applyBorder="1" applyAlignment="1">
      <alignment vertical="center" wrapText="1"/>
    </xf>
    <xf numFmtId="0" fontId="2" fillId="33" borderId="14" xfId="0" applyFont="1" applyFill="1" applyBorder="1" applyAlignment="1">
      <alignment vertical="center" wrapText="1"/>
    </xf>
    <xf numFmtId="0" fontId="2" fillId="33" borderId="49" xfId="0" applyFont="1" applyFill="1" applyBorder="1" applyAlignment="1">
      <alignment vertical="center" wrapText="1"/>
    </xf>
    <xf numFmtId="0" fontId="3" fillId="0" borderId="0" xfId="0" applyFont="1" applyAlignment="1">
      <alignment horizontal="center"/>
    </xf>
    <xf numFmtId="0" fontId="0" fillId="0" borderId="0" xfId="0" applyAlignment="1">
      <alignment horizontal="center"/>
    </xf>
    <xf numFmtId="0" fontId="2" fillId="0" borderId="6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0" xfId="0" applyFont="1" applyBorder="1" applyAlignment="1">
      <alignment vertical="center" wrapText="1"/>
    </xf>
    <xf numFmtId="0" fontId="2" fillId="0" borderId="26" xfId="0" applyFont="1" applyBorder="1" applyAlignment="1">
      <alignment vertical="center" wrapText="1"/>
    </xf>
    <xf numFmtId="0" fontId="2" fillId="33" borderId="20" xfId="0" applyFont="1" applyFill="1" applyBorder="1" applyAlignment="1">
      <alignment vertical="center" wrapText="1"/>
    </xf>
    <xf numFmtId="0" fontId="0" fillId="33" borderId="16" xfId="0" applyFill="1" applyBorder="1" applyAlignment="1">
      <alignment vertical="center" wrapText="1"/>
    </xf>
    <xf numFmtId="0" fontId="2" fillId="0" borderId="16" xfId="0" applyFont="1" applyBorder="1" applyAlignment="1">
      <alignment vertical="center" wrapText="1"/>
    </xf>
    <xf numFmtId="0" fontId="0" fillId="0" borderId="68" xfId="0" applyBorder="1" applyAlignment="1">
      <alignment vertical="center" wrapText="1"/>
    </xf>
    <xf numFmtId="0" fontId="0" fillId="0" borderId="22" xfId="0" applyBorder="1" applyAlignment="1">
      <alignment vertical="center" wrapText="1"/>
    </xf>
    <xf numFmtId="0" fontId="0" fillId="0" borderId="30" xfId="0" applyBorder="1" applyAlignment="1">
      <alignment vertical="center" wrapText="1"/>
    </xf>
    <xf numFmtId="2" fontId="3" fillId="0" borderId="20" xfId="0" applyNumberFormat="1" applyFont="1" applyBorder="1" applyAlignment="1">
      <alignment horizontal="center" vertical="center" wrapText="1"/>
    </xf>
    <xf numFmtId="0" fontId="0" fillId="0" borderId="16" xfId="0" applyBorder="1" applyAlignment="1">
      <alignment horizontal="center" vertical="center" wrapText="1"/>
    </xf>
    <xf numFmtId="0" fontId="2" fillId="33" borderId="16" xfId="0" applyFont="1" applyFill="1" applyBorder="1" applyAlignment="1">
      <alignment vertical="center" wrapText="1"/>
    </xf>
    <xf numFmtId="0" fontId="2" fillId="0" borderId="31" xfId="0" applyFont="1" applyBorder="1" applyAlignment="1">
      <alignment vertical="center" wrapText="1"/>
    </xf>
    <xf numFmtId="0" fontId="0" fillId="0" borderId="21" xfId="0" applyBorder="1" applyAlignment="1">
      <alignment vertical="center" wrapText="1"/>
    </xf>
    <xf numFmtId="0" fontId="2" fillId="0" borderId="66" xfId="0" applyFont="1" applyBorder="1" applyAlignment="1">
      <alignment vertical="center" wrapText="1"/>
    </xf>
    <xf numFmtId="0" fontId="2" fillId="0" borderId="14" xfId="0" applyFont="1" applyBorder="1" applyAlignment="1">
      <alignment vertical="center" wrapText="1"/>
    </xf>
    <xf numFmtId="0" fontId="2" fillId="0" borderId="49" xfId="0" applyFont="1" applyBorder="1" applyAlignment="1">
      <alignment vertical="center" wrapText="1"/>
    </xf>
    <xf numFmtId="0" fontId="2" fillId="0" borderId="68" xfId="0" applyFont="1" applyBorder="1" applyAlignment="1">
      <alignment vertical="center" wrapText="1"/>
    </xf>
    <xf numFmtId="0" fontId="2" fillId="0" borderId="22" xfId="0" applyFont="1" applyBorder="1" applyAlignment="1">
      <alignment vertical="center" wrapText="1"/>
    </xf>
    <xf numFmtId="0" fontId="2" fillId="0" borderId="30" xfId="0" applyFont="1"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ES%20%20PR%20REA%20%20%20I%20-%20IV%20%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ES_PR_REA_I%20-%20IX_%202009%20Joc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
      <sheetName val="PR"/>
      <sheetName val="mPR"/>
      <sheetName val="UK.RE"/>
      <sheetName val="RE-T"/>
      <sheetName val="mR-d"/>
      <sheetName val="mR-i"/>
      <sheetName val="VR.R"/>
      <sheetName val="vr-d"/>
      <sheetName val="vr-in"/>
      <sheetName val="NLD"/>
      <sheetName val="mBZ"/>
      <sheetName val="En"/>
      <sheetName val="Enm"/>
      <sheetName val="RdK-V"/>
      <sheetName val="RizK-V"/>
      <sheetName val="+"/>
      <sheetName val="Pri"/>
      <sheetName val="Ras"/>
      <sheetName val="Akt"/>
      <sheetName val="Pas"/>
      <sheetName val="Knj.09"/>
      <sheetName val="Knj.I-V"/>
      <sheetName val="Proizv-Nik"/>
      <sheetName val="Sheet1"/>
      <sheetName val="0"/>
    </sheetNames>
    <sheetDataSet>
      <sheetData sheetId="1">
        <row r="9">
          <cell r="G9">
            <v>80114.52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
      <sheetName val="PR"/>
      <sheetName val="mPR"/>
      <sheetName val="UK.RE"/>
      <sheetName val="RE-T"/>
      <sheetName val="mR-d"/>
      <sheetName val="mR-i"/>
      <sheetName val="VR.R"/>
      <sheetName val="vr-d"/>
      <sheetName val="vr-in"/>
      <sheetName val="NLD"/>
      <sheetName val="mBZ"/>
      <sheetName val="En"/>
      <sheetName val="Enm"/>
      <sheetName val="RdK-V"/>
      <sheetName val="RizK-V"/>
      <sheetName val="+"/>
      <sheetName val="Pri"/>
      <sheetName val="Ras"/>
      <sheetName val="Akt"/>
      <sheetName val="Pas"/>
      <sheetName val="Knj.09"/>
      <sheetName val="Knj.I-V"/>
      <sheetName val="Sheet1"/>
      <sheetName val="0"/>
    </sheetNames>
    <sheetDataSet>
      <sheetData sheetId="18">
        <row r="7">
          <cell r="G7">
            <v>4034183.74594</v>
          </cell>
          <cell r="I7">
            <v>4924475.457699999</v>
          </cell>
        </row>
        <row r="28">
          <cell r="I28">
            <v>87243.99951000001</v>
          </cell>
        </row>
        <row r="35">
          <cell r="I35">
            <v>185818.84379</v>
          </cell>
        </row>
        <row r="44">
          <cell r="I44">
            <v>275877.13674000005</v>
          </cell>
        </row>
        <row r="74">
          <cell r="I74">
            <v>126677.28626999998</v>
          </cell>
        </row>
        <row r="91">
          <cell r="I91">
            <v>111290.76918</v>
          </cell>
        </row>
        <row r="94">
          <cell r="I94">
            <v>155890.47234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yaprotein.com/" TargetMode="External" /><Relationship Id="rId2" Type="http://schemas.openxmlformats.org/officeDocument/2006/relationships/hyperlink" Target="mailto:office@soyaprotein.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167"/>
  <sheetViews>
    <sheetView tabSelected="1" zoomScalePageLayoutView="0" workbookViewId="0" topLeftCell="A117">
      <selection activeCell="H127" sqref="H127:I127"/>
    </sheetView>
  </sheetViews>
  <sheetFormatPr defaultColWidth="9.140625" defaultRowHeight="12.75"/>
  <cols>
    <col min="1" max="1" width="5.8515625" style="0" customWidth="1"/>
    <col min="2" max="2" width="9.57421875" style="0" customWidth="1"/>
    <col min="3" max="3" width="10.8515625" style="0" customWidth="1"/>
    <col min="4" max="4" width="11.00390625" style="0" customWidth="1"/>
    <col min="5" max="5" width="10.8515625" style="0" customWidth="1"/>
    <col min="6" max="6" width="6.8515625" style="0" customWidth="1"/>
    <col min="7" max="7" width="11.57421875" style="0" customWidth="1"/>
    <col min="8" max="8" width="11.8515625" style="0" customWidth="1"/>
    <col min="9" max="9" width="13.28125" style="0" customWidth="1"/>
    <col min="10" max="10" width="5.00390625" style="0" customWidth="1"/>
    <col min="11" max="11" width="12.57421875" style="154" hidden="1" customWidth="1"/>
    <col min="12" max="12" width="12.00390625" style="201" hidden="1" customWidth="1"/>
    <col min="13" max="13" width="11.00390625" style="202" hidden="1" customWidth="1"/>
    <col min="14" max="14" width="11.7109375" style="202" hidden="1" customWidth="1"/>
    <col min="15" max="15" width="8.8515625" style="202" hidden="1" customWidth="1"/>
    <col min="16" max="16" width="7.28125" style="202" hidden="1" customWidth="1"/>
    <col min="17" max="17" width="0" style="0" hidden="1" customWidth="1"/>
  </cols>
  <sheetData>
    <row r="2" ht="15">
      <c r="A2" s="12" t="s">
        <v>0</v>
      </c>
    </row>
    <row r="3" ht="15">
      <c r="A3" s="12" t="s">
        <v>1</v>
      </c>
    </row>
    <row r="4" ht="15">
      <c r="A4" s="12" t="s">
        <v>2</v>
      </c>
    </row>
    <row r="6" ht="14.25">
      <c r="A6" s="61" t="s">
        <v>82</v>
      </c>
    </row>
    <row r="7" ht="14.25">
      <c r="A7" s="61" t="s">
        <v>3</v>
      </c>
    </row>
    <row r="8" ht="14.25">
      <c r="A8" s="61" t="s">
        <v>4</v>
      </c>
    </row>
    <row r="10" spans="1:9" ht="15">
      <c r="A10" s="84" t="s">
        <v>5</v>
      </c>
      <c r="B10" s="85"/>
      <c r="C10" s="85"/>
      <c r="D10" s="85"/>
      <c r="E10" s="85"/>
      <c r="F10" s="2"/>
      <c r="G10" s="2"/>
      <c r="H10" s="2"/>
      <c r="I10" s="2"/>
    </row>
    <row r="11" spans="1:8" ht="14.25">
      <c r="A11" s="86"/>
      <c r="B11" s="86"/>
      <c r="C11" s="86"/>
      <c r="D11" s="86"/>
      <c r="E11" s="86"/>
      <c r="F11" s="3"/>
      <c r="G11" s="3"/>
      <c r="H11" s="3"/>
    </row>
    <row r="12" spans="1:9" ht="15">
      <c r="A12" s="87" t="s">
        <v>6</v>
      </c>
      <c r="B12" s="85"/>
      <c r="C12" s="85"/>
      <c r="D12" s="85"/>
      <c r="E12" s="85"/>
      <c r="F12" s="2"/>
      <c r="G12" s="2"/>
      <c r="H12" s="2"/>
      <c r="I12" s="2"/>
    </row>
    <row r="13" spans="1:8" ht="14.25">
      <c r="A13" s="86"/>
      <c r="B13" s="86"/>
      <c r="C13" s="86"/>
      <c r="D13" s="86"/>
      <c r="E13" s="86"/>
      <c r="F13" s="3"/>
      <c r="G13" s="3"/>
      <c r="H13" s="3"/>
    </row>
    <row r="14" spans="1:9" ht="15">
      <c r="A14" s="87" t="s">
        <v>137</v>
      </c>
      <c r="B14" s="85"/>
      <c r="C14" s="85"/>
      <c r="D14" s="85"/>
      <c r="E14" s="85"/>
      <c r="F14" s="2"/>
      <c r="G14" s="2"/>
      <c r="H14" s="2"/>
      <c r="I14" s="2"/>
    </row>
    <row r="15" spans="1:9" ht="15">
      <c r="A15" s="87" t="s">
        <v>138</v>
      </c>
      <c r="B15" s="85"/>
      <c r="C15" s="85"/>
      <c r="D15" s="85"/>
      <c r="E15" s="85"/>
      <c r="F15" s="2"/>
      <c r="G15" s="2"/>
      <c r="H15" s="2"/>
      <c r="I15" s="2"/>
    </row>
    <row r="16" spans="1:9" ht="16.5" customHeight="1">
      <c r="A16" s="303" t="s">
        <v>136</v>
      </c>
      <c r="B16" s="304"/>
      <c r="C16" s="304"/>
      <c r="D16" s="304"/>
      <c r="E16" s="304"/>
      <c r="F16" s="304"/>
      <c r="G16" s="304"/>
      <c r="H16" s="304"/>
      <c r="I16" s="304"/>
    </row>
    <row r="17" ht="12.75">
      <c r="A17" s="64"/>
    </row>
    <row r="18" spans="1:2" ht="15">
      <c r="A18" s="65" t="s">
        <v>42</v>
      </c>
      <c r="B18" s="12" t="s">
        <v>62</v>
      </c>
    </row>
    <row r="19" spans="1:2" ht="14.25">
      <c r="A19" s="64"/>
      <c r="B19" s="61" t="s">
        <v>63</v>
      </c>
    </row>
    <row r="20" spans="1:2" ht="14.25">
      <c r="A20" s="64"/>
      <c r="B20" s="61" t="s">
        <v>64</v>
      </c>
    </row>
    <row r="21" spans="1:2" ht="14.25">
      <c r="A21" s="64"/>
      <c r="B21" s="61" t="s">
        <v>65</v>
      </c>
    </row>
    <row r="22" spans="1:2" ht="14.25">
      <c r="A22" s="64"/>
      <c r="B22" s="61" t="s">
        <v>66</v>
      </c>
    </row>
    <row r="23" ht="12.75">
      <c r="A23" s="64"/>
    </row>
    <row r="24" spans="1:2" ht="15">
      <c r="A24" s="65" t="s">
        <v>39</v>
      </c>
      <c r="B24" s="12" t="s">
        <v>67</v>
      </c>
    </row>
    <row r="25" spans="1:2" ht="14.25">
      <c r="A25" s="64"/>
      <c r="B25" s="62" t="s">
        <v>68</v>
      </c>
    </row>
    <row r="26" spans="1:2" ht="14.25">
      <c r="A26" s="64"/>
      <c r="B26" s="62" t="s">
        <v>69</v>
      </c>
    </row>
    <row r="27" ht="12.75">
      <c r="A27" s="64"/>
    </row>
    <row r="28" spans="1:2" ht="15">
      <c r="A28" s="65" t="s">
        <v>44</v>
      </c>
      <c r="B28" s="12" t="s">
        <v>70</v>
      </c>
    </row>
    <row r="29" spans="1:2" ht="14.25">
      <c r="A29" s="64"/>
      <c r="B29" s="14" t="s">
        <v>71</v>
      </c>
    </row>
    <row r="30" ht="12.75">
      <c r="A30" s="64"/>
    </row>
    <row r="31" spans="1:2" ht="15">
      <c r="A31" s="65" t="s">
        <v>46</v>
      </c>
      <c r="B31" s="12" t="s">
        <v>72</v>
      </c>
    </row>
    <row r="32" spans="1:2" ht="14.25">
      <c r="A32" s="64"/>
      <c r="B32" s="14" t="s">
        <v>73</v>
      </c>
    </row>
    <row r="33" spans="1:2" ht="14.25">
      <c r="A33" s="64"/>
      <c r="B33" s="14"/>
    </row>
    <row r="34" spans="1:2" ht="15">
      <c r="A34" s="65" t="s">
        <v>48</v>
      </c>
      <c r="B34" s="12" t="s">
        <v>74</v>
      </c>
    </row>
    <row r="35" ht="14.25">
      <c r="B35" s="14" t="s">
        <v>76</v>
      </c>
    </row>
    <row r="36" ht="14.25">
      <c r="B36" s="14" t="s">
        <v>77</v>
      </c>
    </row>
    <row r="37" ht="14.25">
      <c r="B37" s="14" t="s">
        <v>75</v>
      </c>
    </row>
    <row r="38" ht="14.25">
      <c r="B38" s="14"/>
    </row>
    <row r="39" spans="1:2" ht="14.25">
      <c r="A39" s="63" t="s">
        <v>49</v>
      </c>
      <c r="B39" s="14" t="s">
        <v>80</v>
      </c>
    </row>
    <row r="40" ht="14.25">
      <c r="B40" s="14" t="s">
        <v>79</v>
      </c>
    </row>
    <row r="41" ht="14.25">
      <c r="B41" s="14" t="s">
        <v>83</v>
      </c>
    </row>
    <row r="42" ht="14.25">
      <c r="B42" s="14" t="s">
        <v>84</v>
      </c>
    </row>
    <row r="46" ht="12" customHeight="1"/>
    <row r="47" ht="16.5" customHeight="1"/>
    <row r="58" spans="1:5" ht="15">
      <c r="A58" s="13" t="s">
        <v>42</v>
      </c>
      <c r="B58" s="70" t="s">
        <v>92</v>
      </c>
      <c r="C58" s="71"/>
      <c r="D58" s="69"/>
      <c r="E58" s="8"/>
    </row>
    <row r="59" spans="1:12" ht="15.75" thickBot="1">
      <c r="A59" s="9"/>
      <c r="B59" s="10"/>
      <c r="C59" s="11"/>
      <c r="D59" s="7"/>
      <c r="E59" s="8"/>
      <c r="H59" s="30" t="s">
        <v>89</v>
      </c>
      <c r="L59" s="153" t="s">
        <v>133</v>
      </c>
    </row>
    <row r="60" spans="1:13" ht="51.75" thickBot="1">
      <c r="A60" s="45" t="s">
        <v>87</v>
      </c>
      <c r="B60" s="46" t="s">
        <v>23</v>
      </c>
      <c r="C60" s="47"/>
      <c r="D60" s="48"/>
      <c r="E60" s="48"/>
      <c r="F60" s="47"/>
      <c r="G60" s="135" t="s">
        <v>94</v>
      </c>
      <c r="H60" s="49" t="s">
        <v>125</v>
      </c>
      <c r="I60" s="49" t="s">
        <v>126</v>
      </c>
      <c r="L60" s="164" t="s">
        <v>139</v>
      </c>
      <c r="M60" s="203" t="s">
        <v>166</v>
      </c>
    </row>
    <row r="61" spans="1:13" ht="11.25" customHeight="1" thickBot="1">
      <c r="A61" s="175">
        <v>1</v>
      </c>
      <c r="B61" s="176">
        <v>2</v>
      </c>
      <c r="C61" s="177"/>
      <c r="D61" s="178"/>
      <c r="E61" s="178"/>
      <c r="F61" s="177"/>
      <c r="G61" s="179">
        <v>3</v>
      </c>
      <c r="H61" s="180">
        <v>4</v>
      </c>
      <c r="I61" s="180">
        <v>5</v>
      </c>
      <c r="L61" s="154"/>
      <c r="M61" s="200"/>
    </row>
    <row r="62" spans="1:13" ht="15">
      <c r="A62" s="120" t="s">
        <v>24</v>
      </c>
      <c r="B62" s="121" t="s">
        <v>61</v>
      </c>
      <c r="C62" s="122"/>
      <c r="D62" s="123"/>
      <c r="E62" s="124"/>
      <c r="F62" s="122"/>
      <c r="G62" s="136"/>
      <c r="H62" s="125"/>
      <c r="I62" s="125"/>
      <c r="L62" s="154"/>
      <c r="M62" s="200"/>
    </row>
    <row r="63" spans="1:13" ht="15">
      <c r="A63" s="15">
        <v>1</v>
      </c>
      <c r="B63" s="18" t="s">
        <v>25</v>
      </c>
      <c r="C63" s="51"/>
      <c r="D63" s="54"/>
      <c r="E63" s="55"/>
      <c r="F63" s="51"/>
      <c r="G63" s="137">
        <f>'[1]PR'!$G$9/4*6</f>
        <v>120171.78</v>
      </c>
      <c r="H63" s="80">
        <v>122167.63</v>
      </c>
      <c r="I63" s="80">
        <f>182390.58-H63+M63</f>
        <v>113972.94999999998</v>
      </c>
      <c r="K63" s="204" t="s">
        <v>25</v>
      </c>
      <c r="L63" s="169">
        <v>60817.794</v>
      </c>
      <c r="M63" s="200">
        <f>21500*2.5</f>
        <v>53750</v>
      </c>
    </row>
    <row r="64" spans="1:13" ht="15">
      <c r="A64" s="15">
        <v>2</v>
      </c>
      <c r="B64" s="53" t="s">
        <v>26</v>
      </c>
      <c r="C64" s="34"/>
      <c r="D64" s="34"/>
      <c r="E64" s="56"/>
      <c r="F64" s="34"/>
      <c r="G64" s="102">
        <v>0</v>
      </c>
      <c r="H64" s="81">
        <v>0</v>
      </c>
      <c r="I64" s="81">
        <v>0</v>
      </c>
      <c r="L64" s="154">
        <v>0</v>
      </c>
      <c r="M64" s="200"/>
    </row>
    <row r="65" spans="1:13" ht="15.75" thickBot="1">
      <c r="A65" s="17">
        <v>3</v>
      </c>
      <c r="B65" s="50" t="s">
        <v>27</v>
      </c>
      <c r="C65" s="37"/>
      <c r="D65" s="37"/>
      <c r="E65" s="38"/>
      <c r="F65" s="37"/>
      <c r="G65" s="102">
        <v>0</v>
      </c>
      <c r="H65" s="81">
        <v>0</v>
      </c>
      <c r="I65" s="81">
        <v>0</v>
      </c>
      <c r="L65" s="154">
        <v>0</v>
      </c>
      <c r="M65" s="200"/>
    </row>
    <row r="66" spans="1:13" ht="15.75" thickBot="1">
      <c r="A66" s="39"/>
      <c r="B66" s="57" t="s">
        <v>28</v>
      </c>
      <c r="C66" s="52"/>
      <c r="D66" s="32"/>
      <c r="E66" s="32"/>
      <c r="F66" s="52"/>
      <c r="G66" s="138">
        <f>SUM(G63:G65)</f>
        <v>120171.78</v>
      </c>
      <c r="H66" s="24">
        <f>SUM(H63:H65)</f>
        <v>122167.63</v>
      </c>
      <c r="I66" s="24">
        <f>SUM(I63:I65)</f>
        <v>113972.94999999998</v>
      </c>
      <c r="L66" s="205">
        <f>SUM(L63:L65)</f>
        <v>60817.794</v>
      </c>
      <c r="M66" s="200"/>
    </row>
    <row r="67" spans="1:14" ht="15.75" thickBot="1">
      <c r="A67" s="42" t="s">
        <v>29</v>
      </c>
      <c r="B67" s="44" t="s">
        <v>30</v>
      </c>
      <c r="C67" s="41"/>
      <c r="D67" s="40"/>
      <c r="E67" s="82"/>
      <c r="F67" s="41"/>
      <c r="G67" s="139"/>
      <c r="H67" s="139"/>
      <c r="I67" s="140"/>
      <c r="J67" s="43"/>
      <c r="L67" s="154"/>
      <c r="M67" s="200"/>
      <c r="N67" s="30" t="s">
        <v>135</v>
      </c>
    </row>
    <row r="68" spans="1:15" ht="15">
      <c r="A68" s="20">
        <v>1</v>
      </c>
      <c r="B68" s="36" t="s">
        <v>31</v>
      </c>
      <c r="C68" s="43"/>
      <c r="D68" s="22"/>
      <c r="E68" s="31"/>
      <c r="F68" s="43"/>
      <c r="G68" s="109">
        <f>13180/4*6</f>
        <v>19770</v>
      </c>
      <c r="H68" s="109">
        <v>22437.5</v>
      </c>
      <c r="I68" s="109">
        <f>(34150.5-H68)+M68-408</f>
        <v>21248.75</v>
      </c>
      <c r="K68" s="206" t="s">
        <v>31</v>
      </c>
      <c r="L68" s="159">
        <v>2750.752</v>
      </c>
      <c r="M68" s="200">
        <f>M63*18.5%</f>
        <v>9943.75</v>
      </c>
      <c r="N68" s="155">
        <f aca="true" t="shared" si="0" ref="N68:N79">SUM(L68:M68)-N88</f>
        <v>1572.3819999999996</v>
      </c>
      <c r="O68" s="207"/>
    </row>
    <row r="69" spans="1:15" ht="15">
      <c r="A69" s="15">
        <v>2</v>
      </c>
      <c r="B69" s="53" t="s">
        <v>32</v>
      </c>
      <c r="C69" s="34"/>
      <c r="D69" s="35"/>
      <c r="E69" s="35"/>
      <c r="F69" s="34"/>
      <c r="G69" s="156">
        <f>147.343/4*6</f>
        <v>221.0145</v>
      </c>
      <c r="H69" s="156">
        <v>210.874</v>
      </c>
      <c r="I69" s="156">
        <f>(256.129-H69)+M69+69</f>
        <v>213.69250000000002</v>
      </c>
      <c r="K69" s="208" t="s">
        <v>32</v>
      </c>
      <c r="L69" s="159">
        <v>34.249</v>
      </c>
      <c r="M69" s="200">
        <f>M68*1%</f>
        <v>99.4375</v>
      </c>
      <c r="N69" s="155">
        <f t="shared" si="0"/>
        <v>33.35249999999999</v>
      </c>
      <c r="O69" s="207"/>
    </row>
    <row r="70" spans="1:15" ht="15">
      <c r="A70" s="15">
        <v>3</v>
      </c>
      <c r="B70" s="36" t="s">
        <v>33</v>
      </c>
      <c r="C70" s="43"/>
      <c r="D70" s="31"/>
      <c r="E70" s="31"/>
      <c r="F70" s="43"/>
      <c r="G70" s="109">
        <v>80500</v>
      </c>
      <c r="H70" s="109">
        <v>79137.201</v>
      </c>
      <c r="I70" s="109">
        <f>(119181.161-H70)+M70+435</f>
        <v>71661.01366666667</v>
      </c>
      <c r="K70" s="206" t="s">
        <v>33</v>
      </c>
      <c r="L70" s="159">
        <v>10556.719</v>
      </c>
      <c r="M70" s="200">
        <f>119181.161/9*3-8545</f>
        <v>31182.053666666667</v>
      </c>
      <c r="N70" s="155">
        <f t="shared" si="0"/>
        <v>9862.845999999998</v>
      </c>
      <c r="O70" s="207"/>
    </row>
    <row r="71" spans="1:15" ht="15">
      <c r="A71" s="15">
        <v>4</v>
      </c>
      <c r="B71" s="16" t="s">
        <v>127</v>
      </c>
      <c r="C71" s="34"/>
      <c r="D71" s="35"/>
      <c r="E71" s="35"/>
      <c r="F71" s="34"/>
      <c r="G71" s="102">
        <f>1536/9*6+30</f>
        <v>1054</v>
      </c>
      <c r="H71" s="102">
        <v>1591.91</v>
      </c>
      <c r="I71" s="102">
        <f>(3617.468-H71)+M71+18</f>
        <v>2200.3646666666664</v>
      </c>
      <c r="K71" s="209" t="s">
        <v>127</v>
      </c>
      <c r="L71" s="159">
        <v>1680.27</v>
      </c>
      <c r="M71" s="200">
        <f>470.42/9*3</f>
        <v>156.80666666666667</v>
      </c>
      <c r="N71" s="155">
        <f t="shared" si="0"/>
        <v>520.3533333333332</v>
      </c>
      <c r="O71" s="207"/>
    </row>
    <row r="72" spans="1:15" ht="15">
      <c r="A72" s="15">
        <v>5</v>
      </c>
      <c r="B72" s="36" t="s">
        <v>95</v>
      </c>
      <c r="C72" s="43"/>
      <c r="D72" s="31"/>
      <c r="E72" s="31"/>
      <c r="F72" s="43"/>
      <c r="G72" s="66">
        <f>1085.5/4*6+97</f>
        <v>1725.25</v>
      </c>
      <c r="H72" s="66">
        <v>2009</v>
      </c>
      <c r="I72" s="66">
        <f>(2837.49-H72)+M72+26</f>
        <v>1792.9499999999998</v>
      </c>
      <c r="K72" s="206" t="s">
        <v>95</v>
      </c>
      <c r="L72" s="159">
        <v>2.7</v>
      </c>
      <c r="M72" s="200">
        <f>2837.49/9*3-7.37</f>
        <v>938.4599999999999</v>
      </c>
      <c r="N72" s="155">
        <f t="shared" si="0"/>
        <v>0.16000000000008185</v>
      </c>
      <c r="O72" s="207"/>
    </row>
    <row r="73" spans="1:15" ht="15">
      <c r="A73" s="15">
        <v>6</v>
      </c>
      <c r="B73" s="16" t="s">
        <v>88</v>
      </c>
      <c r="C73" s="34"/>
      <c r="D73" s="35"/>
      <c r="E73" s="35"/>
      <c r="F73" s="34"/>
      <c r="G73" s="102">
        <f>1331+750/2+250</f>
        <v>1956</v>
      </c>
      <c r="H73" s="102">
        <v>1303.573</v>
      </c>
      <c r="I73" s="102">
        <f>(1830.473-H73)+M73+13</f>
        <v>1150.0576666666666</v>
      </c>
      <c r="K73" s="209" t="s">
        <v>88</v>
      </c>
      <c r="L73" s="159">
        <v>164.04</v>
      </c>
      <c r="M73" s="200">
        <f>1830.473/9*3</f>
        <v>610.1576666666666</v>
      </c>
      <c r="N73" s="155">
        <f t="shared" si="0"/>
        <v>176.14766666666662</v>
      </c>
      <c r="O73" s="210"/>
    </row>
    <row r="74" spans="1:16" ht="15">
      <c r="A74" s="15">
        <v>7</v>
      </c>
      <c r="B74" s="16" t="s">
        <v>34</v>
      </c>
      <c r="C74" s="34"/>
      <c r="D74" s="35"/>
      <c r="E74" s="35"/>
      <c r="F74" s="34"/>
      <c r="G74" s="102">
        <f>(600+500)+1331.22/4*6+330</f>
        <v>3426.83</v>
      </c>
      <c r="H74" s="102">
        <v>4139.476</v>
      </c>
      <c r="I74" s="102">
        <f>(6128.998-H74)+M74+167</f>
        <v>4199.521333333333</v>
      </c>
      <c r="K74" s="209" t="s">
        <v>34</v>
      </c>
      <c r="L74" s="159">
        <v>881.385</v>
      </c>
      <c r="M74" s="200">
        <f>6128.998/9*3</f>
        <v>2042.9993333333332</v>
      </c>
      <c r="N74" s="155">
        <f t="shared" si="0"/>
        <v>618.4556666666667</v>
      </c>
      <c r="O74" s="155">
        <v>431</v>
      </c>
      <c r="P74" s="202">
        <v>431</v>
      </c>
    </row>
    <row r="75" spans="1:15" ht="15">
      <c r="A75" s="15">
        <v>8</v>
      </c>
      <c r="B75" s="36" t="s">
        <v>35</v>
      </c>
      <c r="C75" s="43"/>
      <c r="D75" s="31"/>
      <c r="E75" s="31"/>
      <c r="F75" s="43"/>
      <c r="G75" s="130">
        <f>3380/4*6+580</f>
        <v>5650</v>
      </c>
      <c r="H75" s="130">
        <v>5929.931</v>
      </c>
      <c r="I75" s="130">
        <f>(7954.655-H75)+M75+1324</f>
        <v>6065.057333333334</v>
      </c>
      <c r="K75" s="206" t="s">
        <v>35</v>
      </c>
      <c r="L75" s="159">
        <v>1134.941</v>
      </c>
      <c r="M75" s="200">
        <f>8149/9*3</f>
        <v>2716.3333333333335</v>
      </c>
      <c r="N75" s="155">
        <f t="shared" si="0"/>
        <v>705.9643333333338</v>
      </c>
      <c r="O75" s="155">
        <v>429</v>
      </c>
    </row>
    <row r="76" spans="1:16" ht="15">
      <c r="A76" s="15">
        <v>9</v>
      </c>
      <c r="B76" s="21" t="s">
        <v>90</v>
      </c>
      <c r="C76" s="34"/>
      <c r="D76" s="35"/>
      <c r="E76" s="35"/>
      <c r="F76" s="34"/>
      <c r="G76" s="156">
        <f>120/4*6</f>
        <v>180</v>
      </c>
      <c r="H76" s="156">
        <v>180.16</v>
      </c>
      <c r="I76" s="156">
        <f>(282.78-H76)+M76+3</f>
        <v>199.87999999999997</v>
      </c>
      <c r="K76" s="211" t="s">
        <v>90</v>
      </c>
      <c r="L76" s="159">
        <v>56.195</v>
      </c>
      <c r="M76" s="200">
        <f>282.78/9*3</f>
        <v>94.25999999999999</v>
      </c>
      <c r="N76" s="155">
        <f t="shared" si="0"/>
        <v>38.41</v>
      </c>
      <c r="O76" s="155">
        <v>30</v>
      </c>
      <c r="P76" s="202">
        <v>30</v>
      </c>
    </row>
    <row r="77" spans="1:16" ht="15">
      <c r="A77" s="15">
        <v>10</v>
      </c>
      <c r="B77" s="72" t="s">
        <v>36</v>
      </c>
      <c r="C77" s="34"/>
      <c r="D77" s="33"/>
      <c r="E77" s="33"/>
      <c r="F77" s="43"/>
      <c r="G77" s="157">
        <f>(0.581/4*6)</f>
        <v>0.8714999999999999</v>
      </c>
      <c r="H77" s="157">
        <v>0.68</v>
      </c>
      <c r="I77" s="157">
        <f>(1.13-H77)+M77</f>
        <v>0.8266666666666664</v>
      </c>
      <c r="K77" s="212" t="s">
        <v>36</v>
      </c>
      <c r="L77" s="159">
        <v>0.563</v>
      </c>
      <c r="M77" s="200">
        <f>1.13/9*3</f>
        <v>0.3766666666666666</v>
      </c>
      <c r="N77" s="155">
        <f t="shared" si="0"/>
        <v>0.31699999999999984</v>
      </c>
      <c r="O77" s="155">
        <v>0.3</v>
      </c>
      <c r="P77" s="202">
        <v>0.3</v>
      </c>
    </row>
    <row r="78" spans="1:16" ht="15">
      <c r="A78" s="15">
        <v>11</v>
      </c>
      <c r="B78" s="21" t="s">
        <v>37</v>
      </c>
      <c r="C78" s="73"/>
      <c r="D78" s="59"/>
      <c r="E78" s="59"/>
      <c r="F78" s="34"/>
      <c r="G78" s="157">
        <f>1.384/4*6</f>
        <v>2.0759999999999996</v>
      </c>
      <c r="H78" s="157">
        <v>2.032</v>
      </c>
      <c r="I78" s="157">
        <f>(2.992-H78)+M78</f>
        <v>1.9573333333333331</v>
      </c>
      <c r="K78" s="211" t="s">
        <v>37</v>
      </c>
      <c r="L78" s="159">
        <v>0.368</v>
      </c>
      <c r="M78" s="200">
        <f>2.992/9*3</f>
        <v>0.9973333333333333</v>
      </c>
      <c r="N78" s="155">
        <f t="shared" si="0"/>
        <v>-0.10266666666666668</v>
      </c>
      <c r="O78" s="155">
        <v>0.2</v>
      </c>
      <c r="P78" s="202">
        <v>0.2</v>
      </c>
    </row>
    <row r="79" spans="1:16" ht="15.75" customHeight="1">
      <c r="A79" s="15">
        <v>12</v>
      </c>
      <c r="B79" s="21" t="s">
        <v>91</v>
      </c>
      <c r="C79" s="34"/>
      <c r="D79" s="59"/>
      <c r="E79" s="59"/>
      <c r="F79" s="34"/>
      <c r="G79" s="157">
        <f>9.3/4*6</f>
        <v>13.950000000000001</v>
      </c>
      <c r="H79" s="157">
        <v>10.909</v>
      </c>
      <c r="I79" s="157">
        <f>(14.279-H79)+M79+3.9</f>
        <v>15.029666666666666</v>
      </c>
      <c r="K79" s="211" t="s">
        <v>91</v>
      </c>
      <c r="L79" s="159">
        <v>4.165</v>
      </c>
      <c r="M79" s="200">
        <f>14.279/9*3+3</f>
        <v>7.759666666666666</v>
      </c>
      <c r="N79" s="155">
        <f t="shared" si="0"/>
        <v>3.1189999999999998</v>
      </c>
      <c r="O79" s="155">
        <v>3</v>
      </c>
      <c r="P79" s="202">
        <v>3</v>
      </c>
    </row>
    <row r="80" spans="1:15" ht="15" customHeight="1" thickBot="1">
      <c r="A80" s="141">
        <v>13</v>
      </c>
      <c r="B80" s="58" t="s">
        <v>128</v>
      </c>
      <c r="C80" s="43"/>
      <c r="D80" s="33"/>
      <c r="E80" s="33"/>
      <c r="F80" s="43"/>
      <c r="G80" s="158">
        <v>0</v>
      </c>
      <c r="H80" s="158">
        <v>85</v>
      </c>
      <c r="I80" s="158">
        <f>(633.333-H80)-48.3</f>
        <v>500.03299999999996</v>
      </c>
      <c r="K80" s="213" t="s">
        <v>128</v>
      </c>
      <c r="L80" s="160">
        <v>633.333</v>
      </c>
      <c r="M80" s="200">
        <v>1000</v>
      </c>
      <c r="O80" s="214"/>
    </row>
    <row r="81" spans="1:15" ht="15.75" customHeight="1" thickBot="1">
      <c r="A81" s="60"/>
      <c r="B81" s="19" t="s">
        <v>38</v>
      </c>
      <c r="C81" s="41"/>
      <c r="D81" s="23"/>
      <c r="E81" s="23"/>
      <c r="F81" s="41"/>
      <c r="G81" s="67">
        <f>SUM(G68:G79)</f>
        <v>114499.992</v>
      </c>
      <c r="H81" s="67">
        <f>SUM(H68:H80)</f>
        <v>117038.246</v>
      </c>
      <c r="I81" s="67">
        <f>SUM(I68:I80)</f>
        <v>109249.13383333333</v>
      </c>
      <c r="J81" s="5"/>
      <c r="L81" s="161">
        <f>SUM(L68:L80)</f>
        <v>17899.679999999997</v>
      </c>
      <c r="M81" s="200">
        <f>SUM(M68:M80)</f>
        <v>48793.39183333333</v>
      </c>
      <c r="N81" s="162">
        <f>SUM(N68:N80)</f>
        <v>13531.404833333327</v>
      </c>
      <c r="O81" s="155">
        <f>SUM(O68:O80)</f>
        <v>893.5</v>
      </c>
    </row>
    <row r="82" spans="1:13" ht="15.75" customHeight="1" thickBot="1">
      <c r="A82" s="19" t="s">
        <v>131</v>
      </c>
      <c r="B82" s="19"/>
      <c r="C82" s="142"/>
      <c r="D82" s="143"/>
      <c r="E82" s="23"/>
      <c r="F82" s="41"/>
      <c r="G82" s="67"/>
      <c r="H82" s="40">
        <v>22603.929</v>
      </c>
      <c r="I82" s="67"/>
      <c r="J82" s="5"/>
      <c r="L82" s="154"/>
      <c r="M82" s="201">
        <f>M81/M63*100</f>
        <v>90.7784034108527</v>
      </c>
    </row>
    <row r="83" spans="8:14" ht="14.25" customHeight="1">
      <c r="H83" s="5"/>
      <c r="K83" s="199" t="s">
        <v>165</v>
      </c>
      <c r="L83" s="154">
        <f>(H66+I66)*0.96</f>
        <v>226694.95679999999</v>
      </c>
      <c r="M83" s="201">
        <f>M63*0.95</f>
        <v>51062.5</v>
      </c>
      <c r="N83" s="215">
        <f>M83-M81</f>
        <v>2269.1081666666723</v>
      </c>
    </row>
    <row r="84" spans="1:13" ht="15">
      <c r="A84" s="13" t="s">
        <v>39</v>
      </c>
      <c r="B84" s="29" t="s">
        <v>40</v>
      </c>
      <c r="C84" s="12"/>
      <c r="D84" s="12"/>
      <c r="E84" s="12"/>
      <c r="H84" s="12" t="s">
        <v>60</v>
      </c>
      <c r="K84" s="198">
        <f>(H81+I81)/(H63+I63)*100</f>
        <v>95.8274007090748</v>
      </c>
      <c r="L84" s="201">
        <f>(H81+I81)</f>
        <v>226287.3798333333</v>
      </c>
      <c r="M84" s="216">
        <f>L83-L84</f>
        <v>407.5769666666747</v>
      </c>
    </row>
    <row r="85" spans="1:12" ht="15.75" thickBot="1">
      <c r="A85" s="13"/>
      <c r="B85" s="12"/>
      <c r="C85" s="12"/>
      <c r="D85" s="12"/>
      <c r="L85" s="201" t="s">
        <v>143</v>
      </c>
    </row>
    <row r="86" spans="1:14" ht="47.25" customHeight="1" thickBot="1">
      <c r="A86" s="68" t="s">
        <v>22</v>
      </c>
      <c r="B86" s="315" t="s">
        <v>41</v>
      </c>
      <c r="C86" s="316"/>
      <c r="D86" s="316"/>
      <c r="E86" s="316"/>
      <c r="F86" s="83"/>
      <c r="G86" s="135" t="s">
        <v>94</v>
      </c>
      <c r="H86" s="49" t="s">
        <v>125</v>
      </c>
      <c r="I86" s="49" t="s">
        <v>126</v>
      </c>
      <c r="L86" s="217" t="s">
        <v>115</v>
      </c>
      <c r="M86" s="218" t="s">
        <v>116</v>
      </c>
      <c r="N86" s="219" t="s">
        <v>118</v>
      </c>
    </row>
    <row r="87" spans="1:15" ht="12" customHeight="1" thickBot="1">
      <c r="A87" s="181">
        <v>1</v>
      </c>
      <c r="B87" s="176">
        <v>2</v>
      </c>
      <c r="C87" s="177"/>
      <c r="D87" s="178"/>
      <c r="E87" s="178"/>
      <c r="F87" s="177"/>
      <c r="G87" s="179">
        <v>3</v>
      </c>
      <c r="H87" s="180">
        <v>4</v>
      </c>
      <c r="I87" s="180">
        <v>5</v>
      </c>
      <c r="K87" s="163"/>
      <c r="L87" s="220"/>
      <c r="M87" s="221"/>
      <c r="N87" s="222"/>
      <c r="O87" s="215"/>
    </row>
    <row r="88" spans="1:15" ht="15">
      <c r="A88" s="126" t="s">
        <v>42</v>
      </c>
      <c r="B88" s="127" t="s">
        <v>43</v>
      </c>
      <c r="C88" s="73"/>
      <c r="D88" s="128"/>
      <c r="E88" s="129"/>
      <c r="F88" s="73"/>
      <c r="G88" s="130">
        <f>10001.3/4*6+2528.94+800*2</f>
        <v>19130.89</v>
      </c>
      <c r="H88" s="130">
        <v>20184.42</v>
      </c>
      <c r="I88" s="130">
        <f>(33366.36-H88)+N88</f>
        <v>24304.060000000005</v>
      </c>
      <c r="K88" s="223" t="s">
        <v>31</v>
      </c>
      <c r="L88" s="224">
        <f>27655.8/9*3</f>
        <v>9218.6</v>
      </c>
      <c r="M88" s="225">
        <f>5710.56/9*3</f>
        <v>1903.52</v>
      </c>
      <c r="N88" s="226">
        <f>SUM(L88:M88)</f>
        <v>11122.12</v>
      </c>
      <c r="O88" s="215"/>
    </row>
    <row r="89" spans="1:15" ht="15">
      <c r="A89" s="25" t="s">
        <v>39</v>
      </c>
      <c r="B89" s="108" t="s">
        <v>32</v>
      </c>
      <c r="C89" s="43"/>
      <c r="D89" s="22"/>
      <c r="E89" s="31"/>
      <c r="F89" s="43"/>
      <c r="G89" s="109">
        <f>94.4/4*6+31.2/4*6</f>
        <v>188.40000000000003</v>
      </c>
      <c r="H89" s="109">
        <v>208.896</v>
      </c>
      <c r="I89" s="109">
        <f>(301.001-H89)+N89</f>
        <v>192.439</v>
      </c>
      <c r="K89" s="227" t="s">
        <v>32</v>
      </c>
      <c r="L89" s="224">
        <f>217.9/9*3+O69</f>
        <v>72.63333333333334</v>
      </c>
      <c r="M89" s="225">
        <f>83.102/9*3</f>
        <v>27.70066666666667</v>
      </c>
      <c r="N89" s="228">
        <f aca="true" t="shared" si="1" ref="N89:N99">L89+M89</f>
        <v>100.334</v>
      </c>
      <c r="O89" s="215"/>
    </row>
    <row r="90" spans="1:15" ht="15">
      <c r="A90" s="105" t="s">
        <v>44</v>
      </c>
      <c r="B90" s="56" t="s">
        <v>45</v>
      </c>
      <c r="C90" s="34"/>
      <c r="D90" s="107"/>
      <c r="E90" s="35"/>
      <c r="F90" s="34"/>
      <c r="G90" s="102">
        <f>47695.26+16000*2</f>
        <v>79695.26000000001</v>
      </c>
      <c r="H90" s="102">
        <v>65670.12</v>
      </c>
      <c r="I90" s="102">
        <f>(109127.78-H90)+N90</f>
        <v>75333.58666666667</v>
      </c>
      <c r="K90" s="227" t="s">
        <v>33</v>
      </c>
      <c r="L90" s="224">
        <f>109127.78/9*3-(4500)</f>
        <v>31875.926666666666</v>
      </c>
      <c r="M90" s="225">
        <v>0</v>
      </c>
      <c r="N90" s="228">
        <f t="shared" si="1"/>
        <v>31875.926666666666</v>
      </c>
      <c r="O90" s="215"/>
    </row>
    <row r="91" spans="1:15" ht="15">
      <c r="A91" s="25" t="s">
        <v>46</v>
      </c>
      <c r="B91" s="6" t="s">
        <v>47</v>
      </c>
      <c r="C91" s="43"/>
      <c r="D91" s="22"/>
      <c r="E91" s="31"/>
      <c r="F91" s="43"/>
      <c r="G91" s="66">
        <f>1536/9*6</f>
        <v>1024</v>
      </c>
      <c r="H91" s="66">
        <v>1591.91</v>
      </c>
      <c r="I91" s="66">
        <f>(3950.17-H91)+N91</f>
        <v>3674.9833333333336</v>
      </c>
      <c r="K91" s="227" t="s">
        <v>117</v>
      </c>
      <c r="L91" s="224">
        <f>3950.17/9*3+O71</f>
        <v>1316.7233333333334</v>
      </c>
      <c r="M91" s="225">
        <v>0</v>
      </c>
      <c r="N91" s="228">
        <f t="shared" si="1"/>
        <v>1316.7233333333334</v>
      </c>
      <c r="O91" s="215"/>
    </row>
    <row r="92" spans="1:15" ht="15">
      <c r="A92" s="105" t="s">
        <v>48</v>
      </c>
      <c r="B92" s="16" t="s">
        <v>98</v>
      </c>
      <c r="C92" s="34"/>
      <c r="D92" s="107"/>
      <c r="E92" s="35"/>
      <c r="F92" s="34"/>
      <c r="G92" s="102">
        <f>1085.5/4*6</f>
        <v>1628.25</v>
      </c>
      <c r="H92" s="102">
        <v>1987.64</v>
      </c>
      <c r="I92" s="102">
        <f>(2828.7-H92)+N92</f>
        <v>1782.0599999999995</v>
      </c>
      <c r="K92" s="227" t="s">
        <v>134</v>
      </c>
      <c r="L92" s="224">
        <f>2825.7/9*3-0.9</f>
        <v>940.9999999999999</v>
      </c>
      <c r="M92" s="225">
        <v>0</v>
      </c>
      <c r="N92" s="228">
        <f t="shared" si="1"/>
        <v>940.9999999999999</v>
      </c>
      <c r="O92" s="215"/>
    </row>
    <row r="93" spans="1:15" ht="13.5" customHeight="1">
      <c r="A93" s="25" t="s">
        <v>49</v>
      </c>
      <c r="B93" s="6" t="s">
        <v>97</v>
      </c>
      <c r="C93" s="43"/>
      <c r="D93" s="22"/>
      <c r="E93" s="31"/>
      <c r="F93" s="43"/>
      <c r="G93" s="66">
        <f>1331+750/2</f>
        <v>1706</v>
      </c>
      <c r="H93" s="66">
        <v>1313.85</v>
      </c>
      <c r="I93" s="66">
        <f>(1794.15-H93)+N93</f>
        <v>1078.3500000000001</v>
      </c>
      <c r="K93" s="227" t="s">
        <v>111</v>
      </c>
      <c r="L93" s="220">
        <f>1.35/9*3</f>
        <v>0.45000000000000007</v>
      </c>
      <c r="M93" s="229">
        <f>1792.8/9*3</f>
        <v>597.5999999999999</v>
      </c>
      <c r="N93" s="228">
        <f t="shared" si="1"/>
        <v>598.05</v>
      </c>
      <c r="O93" s="215"/>
    </row>
    <row r="94" spans="1:15" ht="14.25" customHeight="1">
      <c r="A94" s="111" t="s">
        <v>50</v>
      </c>
      <c r="B94" s="112" t="s">
        <v>51</v>
      </c>
      <c r="C94" s="34"/>
      <c r="D94" s="107"/>
      <c r="E94" s="35"/>
      <c r="F94" s="34"/>
      <c r="G94" s="102">
        <f>(600+500)+1331.22/4*6</f>
        <v>3096.83</v>
      </c>
      <c r="H94" s="102">
        <v>3630.8</v>
      </c>
      <c r="I94" s="102">
        <f>(5624.786-H94)+N94</f>
        <v>4299.914666666667</v>
      </c>
      <c r="K94" s="227" t="s">
        <v>34</v>
      </c>
      <c r="L94" s="220">
        <f>1472.28/9*3</f>
        <v>490.76</v>
      </c>
      <c r="M94" s="229">
        <f>4152.506/9*3+O74</f>
        <v>1815.168666666667</v>
      </c>
      <c r="N94" s="228">
        <f t="shared" si="1"/>
        <v>2305.9286666666667</v>
      </c>
      <c r="O94" s="215"/>
    </row>
    <row r="95" spans="1:15" ht="15.75" customHeight="1">
      <c r="A95" s="26" t="s">
        <v>52</v>
      </c>
      <c r="B95" s="113" t="s">
        <v>53</v>
      </c>
      <c r="C95" s="43"/>
      <c r="D95" s="22"/>
      <c r="E95" s="31"/>
      <c r="F95" s="43"/>
      <c r="G95" s="66">
        <f>512.352/4*6+2850/4*6</f>
        <v>5043.528</v>
      </c>
      <c r="H95" s="66">
        <v>5293.794</v>
      </c>
      <c r="I95" s="66">
        <f>(8148.93-H95)+N95</f>
        <v>6000.446</v>
      </c>
      <c r="K95" s="227" t="s">
        <v>35</v>
      </c>
      <c r="L95" s="220">
        <f>1310.373/9*3</f>
        <v>436.79100000000005</v>
      </c>
      <c r="M95" s="229">
        <f>6838.557/9*3+O75</f>
        <v>2708.519</v>
      </c>
      <c r="N95" s="228">
        <f t="shared" si="1"/>
        <v>3145.31</v>
      </c>
      <c r="O95" s="215"/>
    </row>
    <row r="96" spans="1:14" ht="15">
      <c r="A96" s="111" t="s">
        <v>54</v>
      </c>
      <c r="B96" s="112" t="s">
        <v>55</v>
      </c>
      <c r="C96" s="34"/>
      <c r="D96" s="107"/>
      <c r="E96" s="35"/>
      <c r="F96" s="34"/>
      <c r="G96" s="102">
        <f>(49+50.4)/4*6</f>
        <v>149.10000000000002</v>
      </c>
      <c r="H96" s="102">
        <v>154.726</v>
      </c>
      <c r="I96" s="102">
        <f>(246.135-H96)+N96</f>
        <v>203.45399999999998</v>
      </c>
      <c r="K96" s="227" t="s">
        <v>112</v>
      </c>
      <c r="L96" s="220">
        <f>115.935/9*3</f>
        <v>38.645</v>
      </c>
      <c r="M96" s="229">
        <f>130.2/9*3+O76</f>
        <v>73.39999999999999</v>
      </c>
      <c r="N96" s="228">
        <f t="shared" si="1"/>
        <v>112.04499999999999</v>
      </c>
    </row>
    <row r="97" spans="1:15" ht="15">
      <c r="A97" s="26" t="s">
        <v>96</v>
      </c>
      <c r="B97" s="114" t="s">
        <v>36</v>
      </c>
      <c r="C97" s="43"/>
      <c r="D97" s="115"/>
      <c r="E97" s="33"/>
      <c r="F97" s="43"/>
      <c r="G97" s="116">
        <f>1.4/9*6</f>
        <v>0.9333333333333333</v>
      </c>
      <c r="H97" s="116">
        <v>0.689</v>
      </c>
      <c r="I97" s="116">
        <f>(0.954-H97)+N97</f>
        <v>0.8876666666666667</v>
      </c>
      <c r="K97" s="227" t="s">
        <v>36</v>
      </c>
      <c r="L97" s="224">
        <f>0.95/9*3+O77</f>
        <v>0.6166666666666667</v>
      </c>
      <c r="M97" s="225">
        <v>0.006</v>
      </c>
      <c r="N97" s="228">
        <f t="shared" si="1"/>
        <v>0.6226666666666667</v>
      </c>
      <c r="O97" s="215"/>
    </row>
    <row r="98" spans="1:15" ht="15">
      <c r="A98" s="111" t="s">
        <v>56</v>
      </c>
      <c r="B98" s="106" t="s">
        <v>37</v>
      </c>
      <c r="C98" s="34"/>
      <c r="D98" s="119"/>
      <c r="E98" s="59"/>
      <c r="F98" s="34"/>
      <c r="G98" s="99">
        <f>1.475/4*6</f>
        <v>2.2125000000000004</v>
      </c>
      <c r="H98" s="99">
        <v>2.064</v>
      </c>
      <c r="I98" s="99">
        <f>(3.136-H98)+N98</f>
        <v>2.54</v>
      </c>
      <c r="K98" s="227" t="s">
        <v>37</v>
      </c>
      <c r="L98" s="224">
        <f>2.904/9*3+O78</f>
        <v>1.168</v>
      </c>
      <c r="M98" s="225">
        <v>0.3</v>
      </c>
      <c r="N98" s="228">
        <f t="shared" si="1"/>
        <v>1.468</v>
      </c>
      <c r="O98" s="215"/>
    </row>
    <row r="99" spans="1:15" ht="15">
      <c r="A99" s="105" t="s">
        <v>57</v>
      </c>
      <c r="B99" s="56" t="s">
        <v>58</v>
      </c>
      <c r="C99" s="34"/>
      <c r="D99" s="119"/>
      <c r="E99" s="59"/>
      <c r="F99" s="34"/>
      <c r="G99" s="99">
        <f>9.3/4*6</f>
        <v>13.950000000000001</v>
      </c>
      <c r="H99" s="99">
        <v>12.547</v>
      </c>
      <c r="I99" s="99">
        <f>(16.795-H99)+N99</f>
        <v>13.053666666666668</v>
      </c>
      <c r="K99" s="227" t="s">
        <v>113</v>
      </c>
      <c r="L99" s="224">
        <f>16.517/9*3+O79</f>
        <v>8.505666666666666</v>
      </c>
      <c r="M99" s="225">
        <v>0.3</v>
      </c>
      <c r="N99" s="228">
        <f t="shared" si="1"/>
        <v>8.805666666666667</v>
      </c>
      <c r="O99" s="215"/>
    </row>
    <row r="100" spans="1:15" ht="15.75" thickBot="1">
      <c r="A100" s="103">
        <v>13</v>
      </c>
      <c r="B100" s="110" t="s">
        <v>129</v>
      </c>
      <c r="C100" s="104"/>
      <c r="D100" s="117"/>
      <c r="E100" s="118"/>
      <c r="F100" s="104"/>
      <c r="G100" s="98"/>
      <c r="H100" s="98">
        <f>4.75+58.42</f>
        <v>63.17</v>
      </c>
      <c r="I100" s="98">
        <f>(71.44-H100)</f>
        <v>8.269999999999996</v>
      </c>
      <c r="K100" s="287"/>
      <c r="L100" s="288"/>
      <c r="M100" s="289"/>
      <c r="N100" s="290"/>
      <c r="O100" s="215"/>
    </row>
    <row r="101" spans="1:15" ht="15.75" thickBot="1">
      <c r="A101" s="27" t="s">
        <v>59</v>
      </c>
      <c r="B101" s="28"/>
      <c r="C101" s="41"/>
      <c r="D101" s="40"/>
      <c r="E101" s="40"/>
      <c r="F101" s="41"/>
      <c r="G101" s="67">
        <f>SUM(G88:G99)</f>
        <v>111679.35383333336</v>
      </c>
      <c r="H101" s="67">
        <f>SUM(H88:H100)</f>
        <v>100114.62599999999</v>
      </c>
      <c r="I101" s="67">
        <f>SUM(I88:I99)</f>
        <v>116885.775</v>
      </c>
      <c r="K101" s="292" t="s">
        <v>118</v>
      </c>
      <c r="L101" s="293">
        <f>SUM(L88:L99)</f>
        <v>44401.81966666666</v>
      </c>
      <c r="M101" s="294">
        <f>SUM(M88:M99)</f>
        <v>7126.5143333333335</v>
      </c>
      <c r="N101" s="295">
        <f>L101+M101</f>
        <v>51528.333999999995</v>
      </c>
      <c r="O101" s="230">
        <f>SUM(O87:O99)</f>
        <v>0</v>
      </c>
    </row>
    <row r="102" spans="11:14" ht="12.75">
      <c r="K102" s="291" t="s">
        <v>124</v>
      </c>
      <c r="L102" s="232">
        <v>0</v>
      </c>
      <c r="M102" s="233">
        <v>100</v>
      </c>
      <c r="N102" s="234">
        <f>(L102*M102*95)/1000</f>
        <v>0</v>
      </c>
    </row>
    <row r="103" spans="11:14" ht="12.75">
      <c r="K103" s="231" t="s">
        <v>120</v>
      </c>
      <c r="L103" s="200"/>
      <c r="M103" s="235"/>
      <c r="N103" s="286">
        <f>L126/3</f>
        <v>296763.9039199998</v>
      </c>
    </row>
    <row r="104" spans="11:14" ht="12.75">
      <c r="K104" s="236"/>
      <c r="L104" s="237"/>
      <c r="M104" s="238"/>
      <c r="N104" s="239"/>
    </row>
    <row r="105" spans="11:14" ht="12.75">
      <c r="K105" s="236"/>
      <c r="L105" s="237"/>
      <c r="M105" s="238"/>
      <c r="N105" s="239"/>
    </row>
    <row r="106" spans="1:2" ht="12.75">
      <c r="A106" s="30" t="s">
        <v>44</v>
      </c>
      <c r="B106" s="1" t="s">
        <v>93</v>
      </c>
    </row>
    <row r="107" ht="12.75">
      <c r="B107" s="1" t="s">
        <v>130</v>
      </c>
    </row>
    <row r="108" ht="12.75">
      <c r="B108" s="152" t="s">
        <v>132</v>
      </c>
    </row>
    <row r="109" spans="8:12" ht="13.5" thickBot="1">
      <c r="H109" s="4" t="s">
        <v>11</v>
      </c>
      <c r="L109" s="201" t="s">
        <v>144</v>
      </c>
    </row>
    <row r="110" spans="1:16" ht="49.5" customHeight="1" thickBot="1">
      <c r="A110" s="68" t="s">
        <v>22</v>
      </c>
      <c r="B110" s="305" t="s">
        <v>7</v>
      </c>
      <c r="C110" s="306"/>
      <c r="D110" s="306"/>
      <c r="E110" s="79"/>
      <c r="F110" s="88"/>
      <c r="G110" s="135" t="s">
        <v>94</v>
      </c>
      <c r="H110" s="49" t="s">
        <v>125</v>
      </c>
      <c r="I110" s="49" t="s">
        <v>126</v>
      </c>
      <c r="L110" s="240" t="s">
        <v>115</v>
      </c>
      <c r="M110" s="241" t="s">
        <v>116</v>
      </c>
      <c r="N110" s="242" t="s">
        <v>118</v>
      </c>
      <c r="O110" s="243" t="s">
        <v>140</v>
      </c>
      <c r="P110" s="244" t="s">
        <v>141</v>
      </c>
    </row>
    <row r="111" spans="1:16" ht="11.25" customHeight="1" thickBot="1">
      <c r="A111" s="182">
        <v>1</v>
      </c>
      <c r="B111" s="176">
        <v>2</v>
      </c>
      <c r="C111" s="177"/>
      <c r="D111" s="178"/>
      <c r="E111" s="178"/>
      <c r="F111" s="177"/>
      <c r="G111" s="179">
        <v>3</v>
      </c>
      <c r="H111" s="180">
        <v>4</v>
      </c>
      <c r="I111" s="180">
        <v>5</v>
      </c>
      <c r="L111" s="245"/>
      <c r="M111" s="246"/>
      <c r="N111" s="247"/>
      <c r="O111" s="248"/>
      <c r="P111" s="249"/>
    </row>
    <row r="112" spans="1:17" ht="13.5" thickBot="1">
      <c r="A112" s="183" t="s">
        <v>155</v>
      </c>
      <c r="B112" s="317" t="s">
        <v>156</v>
      </c>
      <c r="C112" s="310"/>
      <c r="D112" s="310"/>
      <c r="E112" s="41"/>
      <c r="F112" s="90"/>
      <c r="G112" s="146">
        <f>G113+G114+G115</f>
        <v>8188165.93125</v>
      </c>
      <c r="H112" s="91">
        <f>H113+H114+H115</f>
        <v>9498330.92</v>
      </c>
      <c r="I112" s="91">
        <f>I113+I114+I115</f>
        <v>6608914.547173332</v>
      </c>
      <c r="K112" s="250" t="s">
        <v>31</v>
      </c>
      <c r="L112" s="251">
        <f>(L88-8870)*52.25+8870*52.25</f>
        <v>481671.85000000003</v>
      </c>
      <c r="M112" s="252">
        <f>M88*P112*95/1000</f>
        <v>106692.296</v>
      </c>
      <c r="N112" s="253">
        <f>L112+M112</f>
        <v>588364.1460000001</v>
      </c>
      <c r="O112" s="285" t="s">
        <v>157</v>
      </c>
      <c r="P112" s="89">
        <v>590</v>
      </c>
      <c r="Q112" t="s">
        <v>142</v>
      </c>
    </row>
    <row r="113" spans="1:17" ht="12.75">
      <c r="A113" s="184">
        <v>1</v>
      </c>
      <c r="B113" s="318" t="s">
        <v>8</v>
      </c>
      <c r="C113" s="318"/>
      <c r="D113" s="318"/>
      <c r="E113" s="34"/>
      <c r="F113" s="145"/>
      <c r="G113" s="100">
        <v>7797855</v>
      </c>
      <c r="H113" s="89">
        <v>9028480.21</v>
      </c>
      <c r="I113" s="89">
        <f>(12553106.935-H113)+N127+N131</f>
        <v>6448180.317098333</v>
      </c>
      <c r="K113" s="254" t="s">
        <v>32</v>
      </c>
      <c r="L113" s="255">
        <f aca="true" t="shared" si="2" ref="L113:L120">L89*O113</f>
        <v>11621.333333333334</v>
      </c>
      <c r="M113" s="256">
        <f>M89*P113*95/1000</f>
        <v>2539.4586166666672</v>
      </c>
      <c r="N113" s="253">
        <f aca="true" t="shared" si="3" ref="N113:N120">L113+M113</f>
        <v>14160.79195</v>
      </c>
      <c r="O113" s="172">
        <v>160</v>
      </c>
      <c r="P113" s="171">
        <v>965</v>
      </c>
      <c r="Q113" t="s">
        <v>142</v>
      </c>
    </row>
    <row r="114" spans="1:17" ht="12.75">
      <c r="A114" s="185">
        <v>2</v>
      </c>
      <c r="B114" s="307" t="s">
        <v>9</v>
      </c>
      <c r="C114" s="307"/>
      <c r="D114" s="307"/>
      <c r="E114" s="34"/>
      <c r="F114" s="74"/>
      <c r="G114" s="101">
        <v>183327</v>
      </c>
      <c r="H114" s="101">
        <v>340841.634</v>
      </c>
      <c r="I114" s="77">
        <f>(404332.298-H114)*2*1.025</f>
        <v>130155.86119999997</v>
      </c>
      <c r="K114" s="254" t="s">
        <v>33</v>
      </c>
      <c r="L114" s="284">
        <f>L90*O114</f>
        <v>1179409.2866666666</v>
      </c>
      <c r="M114" s="256">
        <f>M90</f>
        <v>0</v>
      </c>
      <c r="N114" s="165">
        <f t="shared" si="3"/>
        <v>1179409.2866666666</v>
      </c>
      <c r="O114" s="172">
        <v>37</v>
      </c>
      <c r="P114" s="171"/>
      <c r="Q114" t="s">
        <v>142</v>
      </c>
    </row>
    <row r="115" spans="1:17" ht="13.5" thickBot="1">
      <c r="A115" s="185">
        <v>3</v>
      </c>
      <c r="B115" s="308" t="s">
        <v>10</v>
      </c>
      <c r="C115" s="308"/>
      <c r="D115" s="308"/>
      <c r="E115" s="43"/>
      <c r="F115" s="92"/>
      <c r="G115" s="147">
        <v>206983.93125</v>
      </c>
      <c r="H115" s="147">
        <v>129009.076</v>
      </c>
      <c r="I115" s="93">
        <f>(140942.098-H115)*2.5*1.025</f>
        <v>30578.36887499999</v>
      </c>
      <c r="K115" s="254" t="s">
        <v>117</v>
      </c>
      <c r="L115" s="255">
        <f t="shared" si="2"/>
        <v>5925.255</v>
      </c>
      <c r="M115" s="256">
        <f>M91</f>
        <v>0</v>
      </c>
      <c r="N115" s="253">
        <f t="shared" si="3"/>
        <v>5925.255</v>
      </c>
      <c r="O115" s="172">
        <v>4.5</v>
      </c>
      <c r="P115" s="171"/>
      <c r="Q115" t="s">
        <v>142</v>
      </c>
    </row>
    <row r="116" spans="1:17" ht="13.5" thickBot="1">
      <c r="A116" s="186" t="s">
        <v>158</v>
      </c>
      <c r="B116" s="309" t="s">
        <v>159</v>
      </c>
      <c r="C116" s="310"/>
      <c r="D116" s="310"/>
      <c r="E116" s="41"/>
      <c r="F116" s="94"/>
      <c r="G116" s="148">
        <f>G117+G123+G124</f>
        <v>7660550.56</v>
      </c>
      <c r="H116" s="95">
        <f>H117+H123+H124</f>
        <v>9317482.602</v>
      </c>
      <c r="I116" s="95">
        <f>I117+I123+I124</f>
        <v>5761985.134917961</v>
      </c>
      <c r="K116" s="254" t="s">
        <v>114</v>
      </c>
      <c r="L116" s="255">
        <f t="shared" si="2"/>
        <v>39521.99999999999</v>
      </c>
      <c r="M116" s="256">
        <f>M92</f>
        <v>0</v>
      </c>
      <c r="N116" s="253">
        <f t="shared" si="3"/>
        <v>39521.99999999999</v>
      </c>
      <c r="O116" s="172">
        <v>42</v>
      </c>
      <c r="P116" s="171"/>
      <c r="Q116" t="s">
        <v>142</v>
      </c>
    </row>
    <row r="117" spans="1:17" ht="13.5" thickBot="1">
      <c r="A117" s="187">
        <v>1</v>
      </c>
      <c r="B117" s="311" t="s">
        <v>12</v>
      </c>
      <c r="C117" s="311"/>
      <c r="D117" s="311"/>
      <c r="E117" s="188"/>
      <c r="F117" s="189"/>
      <c r="G117" s="190">
        <f>SUM(G118:G122)</f>
        <v>6734102.041</v>
      </c>
      <c r="H117" s="190">
        <f>SUM(H118:H122)</f>
        <v>8227228.855</v>
      </c>
      <c r="I117" s="190">
        <f>SUM(I118:I122)</f>
        <v>5545316.786756665</v>
      </c>
      <c r="K117" s="254" t="s">
        <v>111</v>
      </c>
      <c r="L117" s="255">
        <f t="shared" si="2"/>
        <v>38.25000000000001</v>
      </c>
      <c r="M117" s="256">
        <f aca="true" t="shared" si="4" ref="M117:M122">M93*P117*95/1000</f>
        <v>27818.279999999995</v>
      </c>
      <c r="N117" s="253">
        <f t="shared" si="3"/>
        <v>27856.529999999995</v>
      </c>
      <c r="O117" s="172">
        <v>85</v>
      </c>
      <c r="P117" s="171">
        <v>490</v>
      </c>
      <c r="Q117" t="s">
        <v>142</v>
      </c>
    </row>
    <row r="118" spans="1:17" ht="12.75">
      <c r="A118" s="191" t="s">
        <v>160</v>
      </c>
      <c r="B118" s="312" t="s">
        <v>13</v>
      </c>
      <c r="C118" s="313"/>
      <c r="D118" s="314"/>
      <c r="E118" s="43"/>
      <c r="F118" s="75"/>
      <c r="G118" s="149">
        <f>2834000</f>
        <v>2834000</v>
      </c>
      <c r="H118" s="149">
        <v>4034183.746</v>
      </c>
      <c r="I118" s="192">
        <f>'[2]Ras'!$I$7-'[2]Ras'!G7+N131</f>
        <v>1187055.615679999</v>
      </c>
      <c r="K118" s="254" t="s">
        <v>34</v>
      </c>
      <c r="L118" s="255">
        <f t="shared" si="2"/>
        <v>39260.8</v>
      </c>
      <c r="M118" s="256">
        <f t="shared" si="4"/>
        <v>81047.28096666667</v>
      </c>
      <c r="N118" s="253">
        <f t="shared" si="3"/>
        <v>120308.08096666668</v>
      </c>
      <c r="O118" s="172">
        <v>80</v>
      </c>
      <c r="P118" s="171">
        <v>470</v>
      </c>
      <c r="Q118" t="s">
        <v>142</v>
      </c>
    </row>
    <row r="119" spans="1:17" ht="12.75">
      <c r="A119" s="191" t="s">
        <v>160</v>
      </c>
      <c r="B119" s="319" t="s">
        <v>15</v>
      </c>
      <c r="C119" s="319"/>
      <c r="D119" s="319"/>
      <c r="E119" s="34"/>
      <c r="F119" s="78"/>
      <c r="G119" s="150">
        <v>3465041</v>
      </c>
      <c r="H119" s="150">
        <v>3743150.62</v>
      </c>
      <c r="I119" s="168">
        <f>(5772868.269-H119)+O134+621</f>
        <v>3939174.774566667</v>
      </c>
      <c r="K119" s="254" t="s">
        <v>35</v>
      </c>
      <c r="L119" s="255">
        <f t="shared" si="2"/>
        <v>54598.87500000001</v>
      </c>
      <c r="M119" s="283">
        <f t="shared" si="4"/>
        <v>176256.873925</v>
      </c>
      <c r="N119" s="253">
        <f t="shared" si="3"/>
        <v>230855.748925</v>
      </c>
      <c r="O119" s="172">
        <v>125</v>
      </c>
      <c r="P119" s="171">
        <v>685</v>
      </c>
      <c r="Q119" t="s">
        <v>142</v>
      </c>
    </row>
    <row r="120" spans="1:17" ht="12.75">
      <c r="A120" s="191" t="s">
        <v>160</v>
      </c>
      <c r="B120" s="144" t="s">
        <v>14</v>
      </c>
      <c r="C120" s="144"/>
      <c r="D120" s="144"/>
      <c r="E120" s="144"/>
      <c r="F120" s="144"/>
      <c r="G120" s="150">
        <v>174370.699</v>
      </c>
      <c r="H120" s="150">
        <v>173865.234</v>
      </c>
      <c r="I120" s="150">
        <f>(275877.137-H120)-18000+N135</f>
        <v>169970.94858000003</v>
      </c>
      <c r="K120" s="257" t="s">
        <v>112</v>
      </c>
      <c r="L120" s="255">
        <f t="shared" si="2"/>
        <v>9274.800000000001</v>
      </c>
      <c r="M120" s="256">
        <f t="shared" si="4"/>
        <v>14991.949999999999</v>
      </c>
      <c r="N120" s="253">
        <f t="shared" si="3"/>
        <v>24266.75</v>
      </c>
      <c r="O120" s="172">
        <v>240</v>
      </c>
      <c r="P120" s="171">
        <v>2150</v>
      </c>
      <c r="Q120" t="s">
        <v>142</v>
      </c>
    </row>
    <row r="121" spans="1:17" ht="12.75">
      <c r="A121" s="191" t="s">
        <v>160</v>
      </c>
      <c r="B121" s="319" t="s">
        <v>16</v>
      </c>
      <c r="C121" s="319"/>
      <c r="D121" s="319"/>
      <c r="E121" s="34"/>
      <c r="F121" s="78"/>
      <c r="G121" s="150">
        <v>73493.33</v>
      </c>
      <c r="H121" s="150">
        <v>73337.313</v>
      </c>
      <c r="I121" s="150">
        <f>(111290.769-H121)+N137</f>
        <v>75050.37906</v>
      </c>
      <c r="K121" s="257" t="s">
        <v>36</v>
      </c>
      <c r="L121" s="255">
        <f>L97*1000</f>
        <v>616.6666666666667</v>
      </c>
      <c r="M121" s="256">
        <f t="shared" si="4"/>
        <v>5.13</v>
      </c>
      <c r="N121" s="253">
        <f>L121+M121</f>
        <v>621.7966666666667</v>
      </c>
      <c r="O121" s="172">
        <v>1000</v>
      </c>
      <c r="P121" s="171">
        <v>9000</v>
      </c>
      <c r="Q121" t="s">
        <v>142</v>
      </c>
    </row>
    <row r="122" spans="1:17" ht="13.5" thickBot="1">
      <c r="A122" s="191" t="s">
        <v>160</v>
      </c>
      <c r="B122" s="312" t="s">
        <v>21</v>
      </c>
      <c r="C122" s="313"/>
      <c r="D122" s="314"/>
      <c r="E122" s="43"/>
      <c r="F122" s="76"/>
      <c r="G122" s="193">
        <v>187197.012</v>
      </c>
      <c r="H122" s="193">
        <f>82611.657+120080.285</f>
        <v>202691.942</v>
      </c>
      <c r="I122" s="193">
        <f>(126677.286+155890.472)-H122+N138</f>
        <v>174065.06887000002</v>
      </c>
      <c r="K122" s="257" t="s">
        <v>37</v>
      </c>
      <c r="L122" s="255">
        <f>L98*245</f>
        <v>286.15999999999997</v>
      </c>
      <c r="M122" s="256">
        <f t="shared" si="4"/>
        <v>57</v>
      </c>
      <c r="N122" s="253">
        <f>L122+M122</f>
        <v>343.15999999999997</v>
      </c>
      <c r="O122" s="172">
        <v>245</v>
      </c>
      <c r="P122" s="171">
        <v>2000</v>
      </c>
      <c r="Q122" t="s">
        <v>142</v>
      </c>
    </row>
    <row r="123" spans="1:17" ht="13.5" thickBot="1">
      <c r="A123" s="187">
        <v>2</v>
      </c>
      <c r="B123" s="320" t="s">
        <v>17</v>
      </c>
      <c r="C123" s="321"/>
      <c r="D123" s="322"/>
      <c r="E123" s="188"/>
      <c r="F123" s="189"/>
      <c r="G123" s="194">
        <v>895330.499</v>
      </c>
      <c r="H123" s="194">
        <v>1048153.625</v>
      </c>
      <c r="I123" s="194">
        <f>(1166007.63-H123)*1.05+(710.368*95.021172)</f>
        <v>191246.7051612959</v>
      </c>
      <c r="K123" s="258" t="s">
        <v>113</v>
      </c>
      <c r="L123" s="259">
        <f>L99*815</f>
        <v>6932.118333333333</v>
      </c>
      <c r="M123" s="260">
        <f>M99*P123/1000</f>
        <v>2.25</v>
      </c>
      <c r="N123" s="261">
        <f>L123+M123</f>
        <v>6934.368333333333</v>
      </c>
      <c r="O123" s="173">
        <v>800</v>
      </c>
      <c r="P123" s="174">
        <v>7500</v>
      </c>
      <c r="Q123" t="s">
        <v>142</v>
      </c>
    </row>
    <row r="124" spans="1:14" ht="13.5" thickBot="1">
      <c r="A124" s="187">
        <v>3</v>
      </c>
      <c r="B124" s="323" t="s">
        <v>18</v>
      </c>
      <c r="C124" s="324"/>
      <c r="D124" s="325"/>
      <c r="E124" s="43"/>
      <c r="F124" s="74"/>
      <c r="G124" s="101">
        <v>31118.02</v>
      </c>
      <c r="H124" s="101">
        <v>42100.122</v>
      </c>
      <c r="I124" s="101">
        <f>(50574.003-H124)*3</f>
        <v>25421.642999999982</v>
      </c>
      <c r="K124" s="262" t="s">
        <v>118</v>
      </c>
      <c r="L124" s="279">
        <f>SUM(L112:L123)*1.05</f>
        <v>1920615.26475</v>
      </c>
      <c r="M124" s="280">
        <f>SUM(M112:M123)</f>
        <v>409410.51950833335</v>
      </c>
      <c r="N124" s="281">
        <f>L124+M124</f>
        <v>2330025.7842583335</v>
      </c>
    </row>
    <row r="125" spans="1:14" ht="13.5" thickBot="1">
      <c r="A125" s="186" t="s">
        <v>161</v>
      </c>
      <c r="B125" s="300" t="s">
        <v>78</v>
      </c>
      <c r="C125" s="301"/>
      <c r="D125" s="302"/>
      <c r="E125" s="41"/>
      <c r="F125" s="96"/>
      <c r="G125" s="148">
        <f>G112-G116</f>
        <v>527615.3712500008</v>
      </c>
      <c r="H125" s="95">
        <f>H112-H116</f>
        <v>180848.31799999997</v>
      </c>
      <c r="I125" s="95">
        <f>I112-I116</f>
        <v>846929.412255371</v>
      </c>
      <c r="K125" s="263" t="s">
        <v>119</v>
      </c>
      <c r="L125" s="264">
        <v>0</v>
      </c>
      <c r="M125" s="265">
        <v>100</v>
      </c>
      <c r="N125" s="266">
        <f>(L125*M125*95)/1000</f>
        <v>0</v>
      </c>
    </row>
    <row r="126" spans="1:14" ht="13.5" thickBot="1">
      <c r="A126" s="195"/>
      <c r="B126" s="312" t="s">
        <v>19</v>
      </c>
      <c r="C126" s="313"/>
      <c r="D126" s="314"/>
      <c r="E126" s="43"/>
      <c r="F126" s="76"/>
      <c r="G126" s="151">
        <f>G125*10%</f>
        <v>52761.53712500008</v>
      </c>
      <c r="H126" s="97">
        <f>H125*10%</f>
        <v>18084.831799999996</v>
      </c>
      <c r="I126" s="97">
        <f>I125*10%</f>
        <v>84692.9412255371</v>
      </c>
      <c r="K126" s="267" t="s">
        <v>154</v>
      </c>
      <c r="L126" s="268">
        <f>'[2]Ras'!$I$7-'[2]Ras'!$G$7</f>
        <v>890291.7117599994</v>
      </c>
      <c r="M126" s="269"/>
      <c r="N126" s="270">
        <f>L126/3</f>
        <v>296763.9039199998</v>
      </c>
    </row>
    <row r="127" spans="1:14" ht="13.5" thickBot="1">
      <c r="A127" s="183" t="s">
        <v>162</v>
      </c>
      <c r="B127" s="300" t="s">
        <v>20</v>
      </c>
      <c r="C127" s="301"/>
      <c r="D127" s="302"/>
      <c r="E127" s="41"/>
      <c r="F127" s="94"/>
      <c r="G127" s="148">
        <f>G125-G126</f>
        <v>474853.8341250007</v>
      </c>
      <c r="H127" s="95">
        <f>H125-H126</f>
        <v>162763.48619999998</v>
      </c>
      <c r="I127" s="95">
        <f>I125-I126</f>
        <v>762236.4710298339</v>
      </c>
      <c r="K127" s="196" t="s">
        <v>118</v>
      </c>
      <c r="L127" s="162"/>
      <c r="M127" s="134"/>
      <c r="N127" s="166">
        <f>SUM(N124:N126)</f>
        <v>2626789.6881783335</v>
      </c>
    </row>
    <row r="128" spans="5:16" ht="12.75">
      <c r="E128" s="5"/>
      <c r="F128" s="5"/>
      <c r="G128" s="5"/>
      <c r="O128" s="133">
        <f>H112+I112</f>
        <v>16107245.467173332</v>
      </c>
      <c r="P128" s="272" t="s">
        <v>121</v>
      </c>
    </row>
    <row r="129" spans="1:16" ht="14.25">
      <c r="A129" s="61" t="s">
        <v>99</v>
      </c>
      <c r="E129" s="5"/>
      <c r="F129" s="5"/>
      <c r="G129" s="5"/>
      <c r="K129" s="74"/>
      <c r="N129" s="273"/>
      <c r="O129" s="133">
        <f>H116+I116</f>
        <v>15079467.736917961</v>
      </c>
      <c r="P129" s="202" t="s">
        <v>122</v>
      </c>
    </row>
    <row r="130" spans="1:16" ht="14.25">
      <c r="A130" s="61" t="s">
        <v>101</v>
      </c>
      <c r="E130" s="5"/>
      <c r="F130" s="5"/>
      <c r="G130" s="5"/>
      <c r="K130" s="74"/>
      <c r="N130" s="274"/>
      <c r="O130" s="271">
        <f>O128-O129</f>
        <v>1027777.730255371</v>
      </c>
      <c r="P130" s="202" t="s">
        <v>123</v>
      </c>
    </row>
    <row r="131" spans="1:14" ht="14.25">
      <c r="A131" s="61" t="s">
        <v>100</v>
      </c>
      <c r="E131" s="5"/>
      <c r="F131" s="5"/>
      <c r="G131" s="5"/>
      <c r="K131" s="299" t="s">
        <v>149</v>
      </c>
      <c r="L131" s="299"/>
      <c r="M131" s="299"/>
      <c r="N131" s="275">
        <f>L126/3</f>
        <v>296763.9039199998</v>
      </c>
    </row>
    <row r="132" spans="1:14" ht="14.25">
      <c r="A132" s="61" t="s">
        <v>102</v>
      </c>
      <c r="E132" s="5"/>
      <c r="F132" s="5"/>
      <c r="G132" s="5"/>
      <c r="K132" s="276" t="s">
        <v>148</v>
      </c>
      <c r="L132" s="276"/>
      <c r="M132" s="277">
        <f>65263.2/9*3*2-186.4-132.2222</f>
        <v>43190.1778</v>
      </c>
      <c r="N132" s="132">
        <f>M63*31.9+M132</f>
        <v>1757815.1778</v>
      </c>
    </row>
    <row r="133" spans="1:14" ht="14.25">
      <c r="A133" s="61" t="s">
        <v>103</v>
      </c>
      <c r="E133" s="5"/>
      <c r="F133" s="5"/>
      <c r="G133" s="5"/>
      <c r="K133" s="169" t="s">
        <v>147</v>
      </c>
      <c r="L133" s="200"/>
      <c r="M133" s="235"/>
      <c r="N133" s="155">
        <f>'[2]Ras'!I28/9*3+30000</f>
        <v>59081.333170000005</v>
      </c>
    </row>
    <row r="134" spans="1:15" ht="14.25">
      <c r="A134" s="61" t="s">
        <v>104</v>
      </c>
      <c r="E134" s="5"/>
      <c r="F134" s="5"/>
      <c r="G134" s="5"/>
      <c r="K134" s="169" t="s">
        <v>146</v>
      </c>
      <c r="L134" s="276"/>
      <c r="M134" s="276"/>
      <c r="N134" s="155">
        <f>('[2]Ras'!I35/9*3)+30000</f>
        <v>91939.61459666668</v>
      </c>
      <c r="O134" s="282">
        <f>N132+N133+N134</f>
        <v>1908836.1255666667</v>
      </c>
    </row>
    <row r="135" spans="1:14" ht="14.25">
      <c r="A135" s="61" t="s">
        <v>81</v>
      </c>
      <c r="E135" s="5"/>
      <c r="F135" s="5"/>
      <c r="G135" s="5"/>
      <c r="K135" s="276" t="s">
        <v>145</v>
      </c>
      <c r="L135" s="200"/>
      <c r="M135" s="235"/>
      <c r="N135" s="275">
        <f>('[2]Ras'!I44-18000)/9*3</f>
        <v>85959.04558000002</v>
      </c>
    </row>
    <row r="136" spans="1:14" ht="7.5" customHeight="1">
      <c r="A136" s="61"/>
      <c r="E136" s="5"/>
      <c r="F136" s="5"/>
      <c r="G136" s="5"/>
      <c r="K136" s="169"/>
      <c r="L136" s="200"/>
      <c r="M136" s="235"/>
      <c r="N136" s="275"/>
    </row>
    <row r="137" spans="1:14" ht="14.25">
      <c r="A137" s="61" t="s">
        <v>168</v>
      </c>
      <c r="E137" s="5"/>
      <c r="F137" s="5"/>
      <c r="G137" s="5"/>
      <c r="K137" s="299" t="s">
        <v>16</v>
      </c>
      <c r="L137" s="299"/>
      <c r="M137" s="299"/>
      <c r="N137" s="275">
        <f>'[2]Ras'!$I$91/9*3</f>
        <v>37096.92306</v>
      </c>
    </row>
    <row r="138" spans="1:14" ht="14.25">
      <c r="A138" s="61" t="s">
        <v>169</v>
      </c>
      <c r="K138" s="299" t="s">
        <v>21</v>
      </c>
      <c r="L138" s="299"/>
      <c r="M138" s="299"/>
      <c r="N138" s="278">
        <f>('[2]Ras'!$I$74+'[2]Ras'!$I$94)/9*3</f>
        <v>94189.25287</v>
      </c>
    </row>
    <row r="139" spans="1:14" ht="15" thickBot="1">
      <c r="A139" s="61" t="s">
        <v>170</v>
      </c>
      <c r="K139" s="296"/>
      <c r="L139" s="296"/>
      <c r="M139" s="296"/>
      <c r="N139" s="297"/>
    </row>
    <row r="140" spans="1:14" ht="15" thickBot="1">
      <c r="A140" s="61" t="s">
        <v>171</v>
      </c>
      <c r="N140" s="197">
        <f>SUM(N131:N138)</f>
        <v>2422845.2509966665</v>
      </c>
    </row>
    <row r="141" ht="12.75" customHeight="1">
      <c r="A141" s="61" t="s">
        <v>172</v>
      </c>
    </row>
    <row r="142" ht="14.25">
      <c r="A142" s="61" t="s">
        <v>107</v>
      </c>
    </row>
    <row r="143" ht="6.75" customHeight="1">
      <c r="A143" s="61"/>
    </row>
    <row r="144" spans="1:10" ht="12" customHeight="1">
      <c r="A144" s="61" t="s">
        <v>153</v>
      </c>
      <c r="B144" s="170"/>
      <c r="I144" s="14"/>
      <c r="J144" s="14"/>
    </row>
    <row r="145" spans="1:10" ht="12" customHeight="1">
      <c r="A145" s="61" t="s">
        <v>150</v>
      </c>
      <c r="B145" s="170"/>
      <c r="I145" s="14"/>
      <c r="J145" s="14"/>
    </row>
    <row r="146" spans="1:10" ht="12.75" customHeight="1">
      <c r="A146" s="61" t="s">
        <v>152</v>
      </c>
      <c r="B146" s="170"/>
      <c r="I146" s="14"/>
      <c r="J146" s="14"/>
    </row>
    <row r="147" spans="1:10" ht="11.25" customHeight="1">
      <c r="A147" s="61" t="s">
        <v>151</v>
      </c>
      <c r="B147" s="170"/>
      <c r="I147" s="14"/>
      <c r="J147" s="14"/>
    </row>
    <row r="148" ht="6.75" customHeight="1">
      <c r="A148" s="61"/>
    </row>
    <row r="149" spans="1:10" ht="14.25">
      <c r="A149" s="61" t="s">
        <v>167</v>
      </c>
      <c r="B149" s="61"/>
      <c r="C149" s="61"/>
      <c r="D149" s="61"/>
      <c r="E149" s="61"/>
      <c r="F149" s="61"/>
      <c r="G149" s="61"/>
      <c r="H149" s="61"/>
      <c r="I149" s="61"/>
      <c r="J149" s="61"/>
    </row>
    <row r="150" spans="1:10" ht="14.25">
      <c r="A150" s="61" t="s">
        <v>108</v>
      </c>
      <c r="B150" s="61"/>
      <c r="C150" s="61"/>
      <c r="D150" s="61"/>
      <c r="E150" s="61"/>
      <c r="F150" s="61"/>
      <c r="G150" s="61"/>
      <c r="H150" s="61"/>
      <c r="I150" s="131"/>
      <c r="J150" s="61"/>
    </row>
    <row r="151" spans="1:10" ht="14.25">
      <c r="A151" s="61" t="s">
        <v>106</v>
      </c>
      <c r="B151" s="61"/>
      <c r="C151" s="61"/>
      <c r="D151" s="61"/>
      <c r="E151" s="61"/>
      <c r="F151" s="61"/>
      <c r="G151" s="61"/>
      <c r="H151" s="61"/>
      <c r="I151" s="131"/>
      <c r="J151" s="61"/>
    </row>
    <row r="152" spans="1:10" ht="14.25">
      <c r="A152" s="61" t="s">
        <v>105</v>
      </c>
      <c r="B152" s="61"/>
      <c r="C152" s="61"/>
      <c r="D152" s="61"/>
      <c r="E152" s="61"/>
      <c r="F152" s="61"/>
      <c r="G152" s="61"/>
      <c r="H152" s="61"/>
      <c r="I152" s="131"/>
      <c r="J152" s="61"/>
    </row>
    <row r="153" spans="1:10" ht="9.75" customHeight="1">
      <c r="A153" s="61"/>
      <c r="B153" s="61"/>
      <c r="C153" s="61"/>
      <c r="D153" s="61"/>
      <c r="E153" s="61"/>
      <c r="F153" s="61"/>
      <c r="G153" s="61"/>
      <c r="H153" s="61"/>
      <c r="I153" s="131"/>
      <c r="J153" s="61"/>
    </row>
    <row r="154" spans="1:10" ht="179.25" customHeight="1">
      <c r="A154" s="298" t="s">
        <v>109</v>
      </c>
      <c r="B154" s="298"/>
      <c r="C154" s="298"/>
      <c r="D154" s="298"/>
      <c r="E154" s="298"/>
      <c r="F154" s="298"/>
      <c r="G154" s="298"/>
      <c r="H154" s="298"/>
      <c r="I154" s="298"/>
      <c r="J154" s="3"/>
    </row>
    <row r="155" ht="4.5" customHeight="1"/>
    <row r="156" spans="1:10" ht="34.5" customHeight="1">
      <c r="A156" s="298" t="s">
        <v>110</v>
      </c>
      <c r="B156" s="298"/>
      <c r="C156" s="298"/>
      <c r="D156" s="298"/>
      <c r="E156" s="298"/>
      <c r="F156" s="298"/>
      <c r="G156" s="298"/>
      <c r="H156" s="298"/>
      <c r="I156" s="298"/>
      <c r="J156" s="3"/>
    </row>
    <row r="157" spans="1:10" ht="72" customHeight="1">
      <c r="A157" s="298" t="s">
        <v>163</v>
      </c>
      <c r="B157" s="298"/>
      <c r="C157" s="298"/>
      <c r="D157" s="298"/>
      <c r="E157" s="298"/>
      <c r="F157" s="298"/>
      <c r="G157" s="298"/>
      <c r="H157" s="298"/>
      <c r="I157" s="298"/>
      <c r="J157" s="3"/>
    </row>
    <row r="158" spans="1:10" ht="133.5" customHeight="1">
      <c r="A158" s="298" t="s">
        <v>164</v>
      </c>
      <c r="B158" s="298"/>
      <c r="C158" s="298"/>
      <c r="D158" s="298"/>
      <c r="E158" s="298"/>
      <c r="F158" s="298"/>
      <c r="G158" s="298"/>
      <c r="H158" s="298"/>
      <c r="I158" s="298"/>
      <c r="J158" s="3"/>
    </row>
    <row r="159" spans="1:10" ht="14.25" customHeight="1">
      <c r="A159" s="167"/>
      <c r="B159" s="167"/>
      <c r="C159" s="167"/>
      <c r="D159" s="167"/>
      <c r="E159" s="167"/>
      <c r="F159" s="167"/>
      <c r="G159" s="167"/>
      <c r="H159" s="167"/>
      <c r="I159" s="167"/>
      <c r="J159" s="3"/>
    </row>
    <row r="160" spans="1:10" ht="14.25" customHeight="1">
      <c r="A160" s="167"/>
      <c r="B160" s="167"/>
      <c r="C160" s="167"/>
      <c r="D160" s="167"/>
      <c r="E160" s="167"/>
      <c r="F160" s="167"/>
      <c r="G160" s="167"/>
      <c r="H160" s="167"/>
      <c r="I160" s="167"/>
      <c r="J160" s="3"/>
    </row>
    <row r="161" spans="1:10" ht="14.25" customHeight="1">
      <c r="A161" s="167"/>
      <c r="B161" s="167"/>
      <c r="C161" s="167"/>
      <c r="D161" s="167"/>
      <c r="E161" s="167"/>
      <c r="F161" s="167"/>
      <c r="G161" s="167"/>
      <c r="H161" s="167"/>
      <c r="I161" s="167"/>
      <c r="J161" s="3"/>
    </row>
    <row r="165" ht="12.75">
      <c r="H165" s="2" t="s">
        <v>85</v>
      </c>
    </row>
    <row r="167" ht="12.75">
      <c r="H167" s="2" t="s">
        <v>86</v>
      </c>
    </row>
  </sheetData>
  <sheetProtection/>
  <mergeCells count="25">
    <mergeCell ref="B112:D112"/>
    <mergeCell ref="B113:D113"/>
    <mergeCell ref="B125:D125"/>
    <mergeCell ref="B119:D119"/>
    <mergeCell ref="B126:D126"/>
    <mergeCell ref="B121:D121"/>
    <mergeCell ref="B122:D122"/>
    <mergeCell ref="B123:D123"/>
    <mergeCell ref="B124:D124"/>
    <mergeCell ref="B127:D127"/>
    <mergeCell ref="K131:M131"/>
    <mergeCell ref="A16:I16"/>
    <mergeCell ref="B110:D110"/>
    <mergeCell ref="B114:D114"/>
    <mergeCell ref="B115:D115"/>
    <mergeCell ref="B116:D116"/>
    <mergeCell ref="B117:D117"/>
    <mergeCell ref="B118:D118"/>
    <mergeCell ref="B86:E86"/>
    <mergeCell ref="A158:I158"/>
    <mergeCell ref="K138:M138"/>
    <mergeCell ref="A154:I154"/>
    <mergeCell ref="A157:I157"/>
    <mergeCell ref="K137:M137"/>
    <mergeCell ref="A156:I156"/>
  </mergeCells>
  <hyperlinks>
    <hyperlink ref="B25" r:id="rId1" display="www.soyaprotein.com"/>
    <hyperlink ref="B26" r:id="rId2" display="office@soyaprotein.com"/>
  </hyperlinks>
  <printOptions/>
  <pageMargins left="0.67" right="0.3" top="0.79" bottom="0.39" header="0.5" footer="0.31"/>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jovo</dc:creator>
  <cp:keywords/>
  <dc:description/>
  <cp:lastModifiedBy>Biljana Stojanovic</cp:lastModifiedBy>
  <cp:lastPrinted>2009-11-09T07:38:32Z</cp:lastPrinted>
  <dcterms:created xsi:type="dcterms:W3CDTF">2007-10-27T09:26:42Z</dcterms:created>
  <dcterms:modified xsi:type="dcterms:W3CDTF">2009-11-10T11:41:35Z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