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 I-III" sheetId="1" r:id="rId1"/>
    <sheet name="BS I-III" sheetId="2" r:id="rId2"/>
    <sheet name="novcani tok" sheetId="3" r:id="rId3"/>
    <sheet name="fin.pok. (2)" sheetId="4" r:id="rId4"/>
  </sheets>
  <definedNames/>
  <calcPr fullCalcOnLoad="1"/>
</workbook>
</file>

<file path=xl/sharedStrings.xml><?xml version="1.0" encoding="utf-8"?>
<sst xmlns="http://schemas.openxmlformats.org/spreadsheetml/2006/main" count="244" uniqueCount="120">
  <si>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</si>
  <si>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</si>
  <si>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</si>
  <si>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</si>
  <si>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</si>
  <si>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</si>
  <si>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</si>
  <si>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</si>
  <si>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</si>
  <si>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</si>
  <si>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</si>
  <si>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</si>
  <si>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</si>
  <si>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</si>
  <si>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</si>
  <si>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</si>
  <si>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</si>
  <si>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</si>
  <si>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</si>
  <si>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</si>
  <si>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</si>
  <si>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</si>
  <si>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</si>
  <si>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</si>
  <si>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</si>
  <si>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</si>
  <si>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</si>
  <si>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</si>
  <si>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</si>
  <si>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</si>
  <si>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</si>
  <si>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</si>
  <si>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</si>
  <si>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</si>
  <si>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</si>
  <si>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</si>
  <si>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</si>
  <si>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</si>
  <si>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</si>
  <si>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</si>
  <si>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</si>
  <si>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</si>
  <si>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</si>
  <si>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</si>
  <si>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</si>
  <si>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</si>
  <si>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</si>
  <si>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</si>
  <si>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</si>
  <si>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</si>
  <si>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</si>
  <si>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</si>
  <si>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</si>
  <si>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</si>
  <si>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</si>
  <si>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</si>
  <si>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</si>
  <si>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</si>
  <si>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</si>
  <si>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</si>
  <si>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</si>
  <si>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</si>
  <si>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</si>
  <si>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</si>
  <si>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 xml:space="preserve">DOBITAK / GUBITAK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</si>
  <si>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</si>
  <si>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</si>
  <si>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</si>
  <si>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</si>
  <si>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</si>
  <si>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</si>
  <si>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</si>
  <si>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</si>
  <si>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</si>
  <si>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</si>
  <si>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</si>
  <si>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</si>
  <si>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</si>
  <si>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</si>
  <si>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</si>
  <si>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</si>
  <si>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</si>
  <si>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</si>
  <si>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</si>
  <si>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</si>
  <si>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</si>
  <si>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</si>
  <si>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</si>
  <si>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</si>
  <si>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</si>
  <si>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</si>
  <si>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</si>
  <si>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</si>
  <si>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>Prinos na ukupan kapital (ROI) %</t>
  </si>
  <si>
    <t>Neto prinos na sopstveni kapital (ROE) %</t>
  </si>
  <si>
    <t>I stepen likvidnosti (eur)</t>
  </si>
  <si>
    <t>II stepen likvidnosti (eur)</t>
  </si>
  <si>
    <t>Neto obrtni kapital (eur)</t>
  </si>
  <si>
    <t>Stopa poslovnog dobitka (%)</t>
  </si>
  <si>
    <t>Stepen zaduženosti (%)</t>
  </si>
  <si>
    <t>Neto obrtni kapital (u 000 din)</t>
  </si>
  <si>
    <t>I stepen likvidnosti (u din)</t>
  </si>
  <si>
    <t>II stepen likvidnosti (u din)</t>
  </si>
  <si>
    <t xml:space="preserve"> </t>
  </si>
  <si>
    <t xml:space="preserve">Pozitivne kursne razlike </t>
  </si>
  <si>
    <t>Prosečno vreme naplate kupaca</t>
  </si>
  <si>
    <t>% internog finansiranja</t>
  </si>
  <si>
    <t>Prosečno vreme naplate kupaca (dana)</t>
  </si>
  <si>
    <t>METPOR</t>
  </si>
  <si>
    <t>BILANS USPEHA METALAC-HOLDING ZA PERIOD JANUAR-MART 2010.god (domaće)</t>
  </si>
  <si>
    <t>BILANS STANJA METALAC-HOLDING ZA PERIOD JANUAR -MART 2010.god (domaće)</t>
  </si>
  <si>
    <t>BILANS USPEHA METALAC-HOLDING ZA PERIOD JANUAR-MART 2010.god (ino)</t>
  </si>
  <si>
    <t>BILANS STANJA METALAC-HOLDING ZA PERIOD JANUAR -MART 2010.god (ino)</t>
  </si>
  <si>
    <t>IZVEŠTAJ O TOKOVIMA GOTOVINE METALAC HOLDING ZA PERIOD JANUAR-MART 2010.god.(domaće)</t>
  </si>
  <si>
    <t>IZVEŠTAJ O TOKOVIMA GOTOVINE METALAC HOLDING ZA PERIOD JANUAR-MART 2010.god.(ino)</t>
  </si>
  <si>
    <t>FINANSIJSKI POKAZATELJI METALAC HOLDING ZA PERIOD JANUAR-MART 2010.god.(domaće)</t>
  </si>
  <si>
    <t>FINANSIJSKI POKAZATELJI  METALAC HOLDING ZA PERIOD JANUAR-MART 2010.god.(ino)</t>
  </si>
  <si>
    <t>Pozitivne(negativne) kusne razlike</t>
  </si>
  <si>
    <t xml:space="preserve">              GENERALNI DIREKTOR</t>
  </si>
  <si>
    <t xml:space="preserve">        Ptrašin Jakovljević, dipl. ing.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</si>
</sst>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9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6" fontId="4" fillId="0" borderId="4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34.00390625" style="39" customWidth="1"/>
    <col min="2" max="2" width="10.8515625" style="39" customWidth="1"/>
    <col min="3" max="3" width="8.8515625" style="39" customWidth="1"/>
    <col min="4" max="4" width="8.28125" style="39" customWidth="1"/>
    <col min="5" max="5" width="9.57421875" style="39" customWidth="1"/>
    <col min="6" max="6" width="9.28125" style="39" customWidth="1"/>
    <col min="7" max="7" width="9.57421875" style="39" customWidth="1"/>
    <col min="8" max="8" width="9.00390625" style="39" customWidth="1"/>
    <col min="9" max="9" width="9.57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75" t="s">
        <v>109</v>
      </c>
      <c r="B1" s="75"/>
      <c r="C1" s="75"/>
      <c r="D1" s="75"/>
      <c r="E1" s="75"/>
      <c r="F1" s="75"/>
      <c r="G1" s="75"/>
      <c r="H1" s="75"/>
      <c r="I1" s="71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2"/>
    </row>
    <row r="3" spans="1:11" ht="16.5" customHeight="1" thickBot="1">
      <c r="A3" s="1"/>
      <c r="B3" s="1"/>
      <c r="C3" s="40"/>
      <c r="D3" s="25"/>
      <c r="E3" s="25"/>
      <c r="F3" s="25"/>
      <c r="G3" s="41"/>
      <c r="H3" s="41"/>
      <c r="I3" s="41"/>
      <c r="K3" s="44" t="s">
        <v>0</v>
      </c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108</v>
      </c>
      <c r="J4" s="61" t="s">
        <v>8</v>
      </c>
      <c r="K4" s="62" t="s">
        <v>9</v>
      </c>
    </row>
    <row r="5" spans="1:11" ht="12.75" customHeight="1">
      <c r="A5" s="11" t="s">
        <v>43</v>
      </c>
      <c r="B5" s="5">
        <f>B7+B11+B12+B13+B14</f>
        <v>154860</v>
      </c>
      <c r="C5" s="5">
        <f>C7+C11+C12+C13+C14</f>
        <v>489330</v>
      </c>
      <c r="D5" s="5">
        <f>D7+D11+D12+D13+D14</f>
        <v>39887</v>
      </c>
      <c r="E5" s="5">
        <f>E7+E11+E12+E13+E14</f>
        <v>50154</v>
      </c>
      <c r="F5" s="5">
        <f aca="true" t="shared" si="0" ref="F5:K5">SUM(F11:F14)+F7</f>
        <v>71072</v>
      </c>
      <c r="G5" s="5">
        <f t="shared" si="0"/>
        <v>137470</v>
      </c>
      <c r="H5" s="5">
        <f t="shared" si="0"/>
        <v>76523</v>
      </c>
      <c r="I5" s="5">
        <f t="shared" si="0"/>
        <v>8841</v>
      </c>
      <c r="J5" s="5">
        <f t="shared" si="0"/>
        <v>112827</v>
      </c>
      <c r="K5" s="12">
        <f t="shared" si="0"/>
        <v>115539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44</v>
      </c>
      <c r="B7" s="4">
        <f aca="true" t="shared" si="1" ref="B7:K7">SUM(B8:B9)</f>
        <v>76574</v>
      </c>
      <c r="C7" s="4">
        <f t="shared" si="1"/>
        <v>452727</v>
      </c>
      <c r="D7" s="4">
        <f t="shared" si="1"/>
        <v>34205</v>
      </c>
      <c r="E7" s="4">
        <f t="shared" si="1"/>
        <v>48350</v>
      </c>
      <c r="F7" s="4">
        <f t="shared" si="1"/>
        <v>68707</v>
      </c>
      <c r="G7" s="4">
        <f t="shared" si="1"/>
        <v>137447</v>
      </c>
      <c r="H7" s="4">
        <f t="shared" si="1"/>
        <v>76445</v>
      </c>
      <c r="I7" s="4">
        <f t="shared" si="1"/>
        <v>8578</v>
      </c>
      <c r="J7" s="4">
        <f t="shared" si="1"/>
        <v>107945</v>
      </c>
      <c r="K7" s="15">
        <f t="shared" si="1"/>
        <v>106925</v>
      </c>
    </row>
    <row r="8" spans="1:11" ht="12.75" customHeight="1">
      <c r="A8" s="13" t="s">
        <v>45</v>
      </c>
      <c r="B8" s="3">
        <v>56016</v>
      </c>
      <c r="C8" s="3">
        <v>178576</v>
      </c>
      <c r="D8" s="3">
        <v>20950</v>
      </c>
      <c r="E8" s="3">
        <v>48247</v>
      </c>
      <c r="F8" s="3">
        <v>57550</v>
      </c>
      <c r="G8" s="3">
        <v>137447</v>
      </c>
      <c r="H8" s="3">
        <v>59213</v>
      </c>
      <c r="I8" s="3">
        <f>6497+2081</f>
        <v>8578</v>
      </c>
      <c r="J8" s="3">
        <v>107945</v>
      </c>
      <c r="K8" s="14">
        <v>106925</v>
      </c>
    </row>
    <row r="9" spans="1:11" ht="12.75" customHeight="1">
      <c r="A9" s="13" t="s">
        <v>46</v>
      </c>
      <c r="B9" s="3">
        <v>20558</v>
      </c>
      <c r="C9" s="3">
        <v>274151</v>
      </c>
      <c r="D9" s="3">
        <v>13255</v>
      </c>
      <c r="E9" s="3">
        <v>103</v>
      </c>
      <c r="F9" s="3">
        <v>11157</v>
      </c>
      <c r="G9" s="3">
        <v>0</v>
      </c>
      <c r="H9" s="3">
        <v>17232</v>
      </c>
      <c r="I9" s="3"/>
      <c r="J9" s="3">
        <v>0</v>
      </c>
      <c r="K9" s="14">
        <v>0</v>
      </c>
    </row>
    <row r="10" spans="1:11" ht="12.7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ht="12.75" customHeight="1">
      <c r="A11" s="13" t="s">
        <v>47</v>
      </c>
      <c r="B11" s="3">
        <v>3757</v>
      </c>
      <c r="C11" s="3">
        <v>1944</v>
      </c>
      <c r="D11" s="3">
        <v>289</v>
      </c>
      <c r="E11" s="24">
        <v>0</v>
      </c>
      <c r="F11" s="3">
        <v>144</v>
      </c>
      <c r="G11" s="3">
        <v>0</v>
      </c>
      <c r="H11" s="3">
        <v>0</v>
      </c>
      <c r="I11" s="3"/>
      <c r="J11" s="3">
        <v>65</v>
      </c>
      <c r="K11" s="14">
        <v>232</v>
      </c>
    </row>
    <row r="12" spans="1:11" ht="12.75" customHeight="1">
      <c r="A12" s="13" t="s">
        <v>48</v>
      </c>
      <c r="B12" s="3"/>
      <c r="C12" s="3">
        <v>26539</v>
      </c>
      <c r="D12" s="3">
        <v>5238</v>
      </c>
      <c r="E12" s="3">
        <v>1562</v>
      </c>
      <c r="F12" s="3">
        <v>0</v>
      </c>
      <c r="G12" s="3">
        <v>0</v>
      </c>
      <c r="H12" s="3">
        <v>0</v>
      </c>
      <c r="I12" s="3"/>
      <c r="J12" s="3">
        <v>0</v>
      </c>
      <c r="K12" s="14">
        <v>0</v>
      </c>
    </row>
    <row r="13" spans="1:11" ht="12.75" customHeight="1">
      <c r="A13" s="13" t="s">
        <v>49</v>
      </c>
      <c r="B13" s="3"/>
      <c r="C13" s="24">
        <v>-616</v>
      </c>
      <c r="D13" s="24">
        <v>0</v>
      </c>
      <c r="E13" s="24">
        <v>-107</v>
      </c>
      <c r="F13" s="24">
        <v>1733</v>
      </c>
      <c r="G13" s="3">
        <v>0</v>
      </c>
      <c r="H13" s="3">
        <v>0</v>
      </c>
      <c r="I13" s="3"/>
      <c r="J13" s="3">
        <v>0</v>
      </c>
      <c r="K13" s="14">
        <v>0</v>
      </c>
    </row>
    <row r="14" spans="1:11" ht="12.75" customHeight="1">
      <c r="A14" s="13" t="s">
        <v>50</v>
      </c>
      <c r="B14" s="3">
        <v>74529</v>
      </c>
      <c r="C14" s="3">
        <v>8736</v>
      </c>
      <c r="D14" s="3">
        <v>155</v>
      </c>
      <c r="E14" s="3">
        <v>349</v>
      </c>
      <c r="F14" s="3">
        <v>488</v>
      </c>
      <c r="G14" s="3">
        <v>23</v>
      </c>
      <c r="H14" s="3">
        <v>78</v>
      </c>
      <c r="I14" s="3">
        <v>263</v>
      </c>
      <c r="J14" s="3">
        <v>4817</v>
      </c>
      <c r="K14" s="14">
        <v>8382</v>
      </c>
    </row>
    <row r="15" spans="1:11" ht="12.75" customHeight="1">
      <c r="A15" s="13"/>
      <c r="B15" s="3"/>
      <c r="C15" s="3"/>
      <c r="D15" s="3"/>
      <c r="E15" s="3"/>
      <c r="F15" s="3"/>
      <c r="G15" s="4"/>
      <c r="H15" s="4"/>
      <c r="I15" s="4"/>
      <c r="J15" s="4"/>
      <c r="K15" s="15"/>
    </row>
    <row r="16" spans="1:11" ht="12.75" customHeight="1">
      <c r="A16" s="11" t="s">
        <v>51</v>
      </c>
      <c r="B16" s="4">
        <f aca="true" t="shared" si="2" ref="B16:K16">SUM(B18:B22)</f>
        <v>134274</v>
      </c>
      <c r="C16" s="4">
        <f t="shared" si="2"/>
        <v>406101</v>
      </c>
      <c r="D16" s="4">
        <f t="shared" si="2"/>
        <v>39154</v>
      </c>
      <c r="E16" s="4">
        <f t="shared" si="2"/>
        <v>45833</v>
      </c>
      <c r="F16" s="4">
        <f t="shared" si="2"/>
        <v>68600</v>
      </c>
      <c r="G16" s="4">
        <f t="shared" si="2"/>
        <v>148958</v>
      </c>
      <c r="H16" s="4">
        <f t="shared" si="2"/>
        <v>54571</v>
      </c>
      <c r="I16" s="4">
        <f t="shared" si="2"/>
        <v>8094</v>
      </c>
      <c r="J16" s="4">
        <f t="shared" si="2"/>
        <v>110905</v>
      </c>
      <c r="K16" s="15">
        <f t="shared" si="2"/>
        <v>117922</v>
      </c>
    </row>
    <row r="17" spans="1:11" ht="12.7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52</v>
      </c>
      <c r="B18" s="3">
        <v>927</v>
      </c>
      <c r="C18" s="3">
        <v>786</v>
      </c>
      <c r="D18" s="3">
        <v>1196</v>
      </c>
      <c r="E18" s="3">
        <v>2</v>
      </c>
      <c r="F18" s="3">
        <v>175</v>
      </c>
      <c r="G18" s="3">
        <v>108688</v>
      </c>
      <c r="H18" s="3">
        <v>42575</v>
      </c>
      <c r="I18" s="3">
        <v>4752</v>
      </c>
      <c r="J18" s="3">
        <v>92017</v>
      </c>
      <c r="K18" s="14">
        <v>88796</v>
      </c>
    </row>
    <row r="19" spans="1:11" ht="12.75" customHeight="1">
      <c r="A19" s="13" t="s">
        <v>53</v>
      </c>
      <c r="B19" s="3">
        <v>45804</v>
      </c>
      <c r="C19" s="3">
        <v>227747</v>
      </c>
      <c r="D19" s="3">
        <v>20850</v>
      </c>
      <c r="E19" s="3">
        <v>27976</v>
      </c>
      <c r="F19" s="3">
        <v>42325</v>
      </c>
      <c r="G19" s="3">
        <v>1444</v>
      </c>
      <c r="H19" s="3">
        <v>532</v>
      </c>
      <c r="I19" s="3">
        <v>51</v>
      </c>
      <c r="J19" s="3">
        <v>2245</v>
      </c>
      <c r="K19" s="14">
        <v>5546</v>
      </c>
    </row>
    <row r="20" spans="1:11" ht="12.75" customHeight="1">
      <c r="A20" s="13" t="s">
        <v>54</v>
      </c>
      <c r="B20" s="3">
        <v>32525</v>
      </c>
      <c r="C20" s="3">
        <v>92539</v>
      </c>
      <c r="D20" s="3">
        <v>5509</v>
      </c>
      <c r="E20" s="3">
        <v>8592</v>
      </c>
      <c r="F20" s="3">
        <v>10197</v>
      </c>
      <c r="G20" s="3">
        <v>15858</v>
      </c>
      <c r="H20" s="3">
        <v>3731</v>
      </c>
      <c r="I20" s="3">
        <v>2573</v>
      </c>
      <c r="J20" s="3">
        <v>10902</v>
      </c>
      <c r="K20" s="14">
        <v>17840</v>
      </c>
    </row>
    <row r="21" spans="1:11" ht="12.75" customHeight="1">
      <c r="A21" s="13" t="s">
        <v>55</v>
      </c>
      <c r="B21" s="3">
        <v>29772</v>
      </c>
      <c r="C21" s="3">
        <v>4120</v>
      </c>
      <c r="D21" s="3">
        <v>2993</v>
      </c>
      <c r="E21" s="3">
        <v>95</v>
      </c>
      <c r="F21" s="3">
        <v>3737</v>
      </c>
      <c r="G21" s="3">
        <v>356</v>
      </c>
      <c r="H21" s="3">
        <v>271</v>
      </c>
      <c r="I21" s="3">
        <v>114</v>
      </c>
      <c r="J21" s="3">
        <v>2232</v>
      </c>
      <c r="K21" s="14">
        <v>2794</v>
      </c>
    </row>
    <row r="22" spans="1:11" ht="12.75" customHeight="1">
      <c r="A22" s="13" t="s">
        <v>56</v>
      </c>
      <c r="B22" s="3">
        <v>25246</v>
      </c>
      <c r="C22" s="3">
        <v>80909</v>
      </c>
      <c r="D22" s="3">
        <v>8606</v>
      </c>
      <c r="E22" s="3">
        <v>9168</v>
      </c>
      <c r="F22" s="3">
        <v>12166</v>
      </c>
      <c r="G22" s="3">
        <v>22612</v>
      </c>
      <c r="H22" s="3">
        <v>7462</v>
      </c>
      <c r="I22" s="3">
        <v>604</v>
      </c>
      <c r="J22" s="3">
        <v>3509</v>
      </c>
      <c r="K22" s="14">
        <v>2946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57</v>
      </c>
      <c r="B24" s="4">
        <f aca="true" t="shared" si="3" ref="B24:K24">SUM(B5-B16)</f>
        <v>20586</v>
      </c>
      <c r="C24" s="4">
        <f t="shared" si="3"/>
        <v>83229</v>
      </c>
      <c r="D24" s="26">
        <f t="shared" si="3"/>
        <v>733</v>
      </c>
      <c r="E24" s="26">
        <f t="shared" si="3"/>
        <v>4321</v>
      </c>
      <c r="F24" s="26">
        <f t="shared" si="3"/>
        <v>2472</v>
      </c>
      <c r="G24" s="26">
        <f t="shared" si="3"/>
        <v>-11488</v>
      </c>
      <c r="H24" s="26">
        <f t="shared" si="3"/>
        <v>21952</v>
      </c>
      <c r="I24" s="26">
        <f t="shared" si="3"/>
        <v>747</v>
      </c>
      <c r="J24" s="26">
        <f t="shared" si="3"/>
        <v>1922</v>
      </c>
      <c r="K24" s="30">
        <f t="shared" si="3"/>
        <v>-2383</v>
      </c>
    </row>
    <row r="25" spans="1:11" ht="12.7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23" t="s">
        <v>58</v>
      </c>
      <c r="B26" s="4">
        <v>49032</v>
      </c>
      <c r="C26" s="4">
        <v>15123</v>
      </c>
      <c r="D26" s="26">
        <v>395</v>
      </c>
      <c r="E26" s="4">
        <v>33</v>
      </c>
      <c r="F26" s="4">
        <v>328</v>
      </c>
      <c r="G26" s="4">
        <v>4467</v>
      </c>
      <c r="H26" s="4">
        <v>1003</v>
      </c>
      <c r="I26" s="4">
        <v>11</v>
      </c>
      <c r="J26" s="4">
        <v>1165</v>
      </c>
      <c r="K26" s="15">
        <v>368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59</v>
      </c>
      <c r="B28" s="4">
        <v>36780</v>
      </c>
      <c r="C28" s="4">
        <v>43788</v>
      </c>
      <c r="D28" s="4">
        <v>6400</v>
      </c>
      <c r="E28" s="4">
        <v>887</v>
      </c>
      <c r="F28" s="4">
        <v>8295</v>
      </c>
      <c r="G28" s="4">
        <v>3370</v>
      </c>
      <c r="H28" s="4">
        <v>1900</v>
      </c>
      <c r="I28" s="4">
        <v>429</v>
      </c>
      <c r="J28" s="4">
        <v>469</v>
      </c>
      <c r="K28" s="15">
        <v>3887</v>
      </c>
    </row>
    <row r="29" spans="1:11" ht="12.75" customHeight="1">
      <c r="A29" s="11"/>
      <c r="B29" s="4"/>
      <c r="C29" s="4"/>
      <c r="D29" s="4"/>
      <c r="E29" s="4"/>
      <c r="F29" s="4"/>
      <c r="G29" s="4"/>
      <c r="H29" s="4"/>
      <c r="I29" s="4"/>
      <c r="J29" s="4"/>
      <c r="K29" s="15"/>
    </row>
    <row r="30" spans="1:11" ht="12.75" customHeight="1">
      <c r="A30" s="11" t="s">
        <v>62</v>
      </c>
      <c r="B30" s="26">
        <f>SUM(B26-B28)</f>
        <v>12252</v>
      </c>
      <c r="C30" s="26">
        <f>SUM(C26-C28)</f>
        <v>-28665</v>
      </c>
      <c r="D30" s="26">
        <f aca="true" t="shared" si="4" ref="D30:K30">SUM(D26-D28)</f>
        <v>-6005</v>
      </c>
      <c r="E30" s="26">
        <f t="shared" si="4"/>
        <v>-854</v>
      </c>
      <c r="F30" s="26">
        <f t="shared" si="4"/>
        <v>-7967</v>
      </c>
      <c r="G30" s="26">
        <f t="shared" si="4"/>
        <v>1097</v>
      </c>
      <c r="H30" s="26">
        <f t="shared" si="4"/>
        <v>-897</v>
      </c>
      <c r="I30" s="26">
        <f t="shared" si="4"/>
        <v>-418</v>
      </c>
      <c r="J30" s="26">
        <f t="shared" si="4"/>
        <v>696</v>
      </c>
      <c r="K30" s="30">
        <f t="shared" si="4"/>
        <v>-3519</v>
      </c>
    </row>
    <row r="31" spans="1:11" ht="12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14"/>
    </row>
    <row r="32" spans="1:11" ht="12.75" customHeight="1">
      <c r="A32" s="11" t="s">
        <v>60</v>
      </c>
      <c r="B32" s="4">
        <v>1891</v>
      </c>
      <c r="C32" s="4">
        <v>0</v>
      </c>
      <c r="D32" s="4">
        <v>48</v>
      </c>
      <c r="E32" s="4">
        <v>16</v>
      </c>
      <c r="F32" s="4">
        <v>6</v>
      </c>
      <c r="G32" s="4">
        <v>628</v>
      </c>
      <c r="H32" s="4">
        <v>0</v>
      </c>
      <c r="I32" s="4">
        <v>3</v>
      </c>
      <c r="J32" s="4">
        <v>724</v>
      </c>
      <c r="K32" s="15">
        <v>1382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61</v>
      </c>
      <c r="B34" s="4">
        <v>1673</v>
      </c>
      <c r="C34" s="4">
        <v>5121</v>
      </c>
      <c r="D34" s="4">
        <v>191</v>
      </c>
      <c r="E34" s="4">
        <v>291</v>
      </c>
      <c r="F34" s="4">
        <v>186</v>
      </c>
      <c r="G34" s="4">
        <v>702</v>
      </c>
      <c r="H34" s="4">
        <v>2157</v>
      </c>
      <c r="I34" s="4">
        <v>23</v>
      </c>
      <c r="J34" s="4">
        <v>880</v>
      </c>
      <c r="K34" s="15">
        <v>335</v>
      </c>
    </row>
    <row r="35" spans="1:11" ht="12.7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15"/>
    </row>
    <row r="36" spans="1:11" ht="12.75" customHeight="1">
      <c r="A36" s="11" t="s">
        <v>63</v>
      </c>
      <c r="B36" s="26">
        <f>B32-B34</f>
        <v>218</v>
      </c>
      <c r="C36" s="26">
        <f>C32-C34</f>
        <v>-5121</v>
      </c>
      <c r="D36" s="26">
        <f aca="true" t="shared" si="5" ref="D36:K36">D32-D34</f>
        <v>-143</v>
      </c>
      <c r="E36" s="26">
        <f t="shared" si="5"/>
        <v>-275</v>
      </c>
      <c r="F36" s="26">
        <f t="shared" si="5"/>
        <v>-180</v>
      </c>
      <c r="G36" s="26">
        <f t="shared" si="5"/>
        <v>-74</v>
      </c>
      <c r="H36" s="26">
        <f t="shared" si="5"/>
        <v>-2157</v>
      </c>
      <c r="I36" s="26">
        <f t="shared" si="5"/>
        <v>-20</v>
      </c>
      <c r="J36" s="26">
        <f t="shared" si="5"/>
        <v>-156</v>
      </c>
      <c r="K36" s="30">
        <f t="shared" si="5"/>
        <v>1047</v>
      </c>
    </row>
    <row r="37" spans="1:11" ht="12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 thickBot="1">
      <c r="A38" s="20" t="s">
        <v>64</v>
      </c>
      <c r="B38" s="21">
        <f>SUM(B24+B26+B32-B28-B34)</f>
        <v>33056</v>
      </c>
      <c r="C38" s="21">
        <f>SUM(C24+C26+C32-C28-C34)</f>
        <v>49443</v>
      </c>
      <c r="D38" s="27">
        <f aca="true" t="shared" si="6" ref="D38:K38">SUM(D24+D26+D32-D28-D34)</f>
        <v>-5415</v>
      </c>
      <c r="E38" s="27">
        <f t="shared" si="6"/>
        <v>3192</v>
      </c>
      <c r="F38" s="27">
        <f t="shared" si="6"/>
        <v>-5675</v>
      </c>
      <c r="G38" s="27">
        <f t="shared" si="6"/>
        <v>-10465</v>
      </c>
      <c r="H38" s="27">
        <f t="shared" si="6"/>
        <v>18898</v>
      </c>
      <c r="I38" s="27">
        <f t="shared" si="6"/>
        <v>309</v>
      </c>
      <c r="J38" s="27">
        <f t="shared" si="6"/>
        <v>2462</v>
      </c>
      <c r="K38" s="31">
        <f t="shared" si="6"/>
        <v>-4855</v>
      </c>
    </row>
    <row r="39" spans="1:9" ht="16.5" customHeight="1">
      <c r="A39" s="75" t="s">
        <v>111</v>
      </c>
      <c r="B39" s="75"/>
      <c r="C39" s="75"/>
      <c r="D39" s="75"/>
      <c r="E39" s="75"/>
      <c r="F39" s="75"/>
      <c r="G39" s="75"/>
      <c r="H39" s="75"/>
      <c r="I39" s="71"/>
    </row>
    <row r="40" spans="1:5" ht="15.75" thickBot="1">
      <c r="A40" s="1"/>
      <c r="B40" s="1"/>
      <c r="C40" s="40"/>
      <c r="D40" s="32" t="s">
        <v>13</v>
      </c>
      <c r="E40" s="2"/>
    </row>
    <row r="41" spans="1:5" ht="21">
      <c r="A41" s="10"/>
      <c r="B41" s="63" t="s">
        <v>10</v>
      </c>
      <c r="C41" s="61" t="s">
        <v>11</v>
      </c>
      <c r="D41" s="62" t="s">
        <v>12</v>
      </c>
      <c r="E41" s="6"/>
    </row>
    <row r="42" spans="1:7" ht="12.75" customHeight="1">
      <c r="A42" s="11" t="s">
        <v>43</v>
      </c>
      <c r="B42" s="5">
        <f>SUM(B44+B48+B49+B51)</f>
        <v>1734961</v>
      </c>
      <c r="C42" s="5">
        <f>SUM(C44+C48+C49+C51)</f>
        <v>369825</v>
      </c>
      <c r="D42" s="12">
        <f>SUM(D44+D48+D49+D51)</f>
        <v>237773</v>
      </c>
      <c r="E42" s="7"/>
      <c r="G42" s="43"/>
    </row>
    <row r="43" spans="1:5" ht="12.75" customHeight="1">
      <c r="A43" s="13"/>
      <c r="B43" s="3"/>
      <c r="C43" s="3"/>
      <c r="D43" s="14"/>
      <c r="E43" s="8"/>
    </row>
    <row r="44" spans="1:5" ht="12.75" customHeight="1">
      <c r="A44" s="11" t="s">
        <v>44</v>
      </c>
      <c r="B44" s="4">
        <f>SUM(B45:B46)</f>
        <v>1703021</v>
      </c>
      <c r="C44" s="4">
        <f>SUM(C45:C46)</f>
        <v>369825</v>
      </c>
      <c r="D44" s="15">
        <f>SUM(D45:D46)</f>
        <v>237773</v>
      </c>
      <c r="E44" s="8"/>
    </row>
    <row r="45" spans="1:5" ht="12.75" customHeight="1">
      <c r="A45" s="13" t="s">
        <v>45</v>
      </c>
      <c r="B45" s="3">
        <v>1688790</v>
      </c>
      <c r="C45" s="3">
        <v>369825</v>
      </c>
      <c r="D45" s="14">
        <v>237773</v>
      </c>
      <c r="E45" s="8"/>
    </row>
    <row r="46" spans="1:5" ht="12.75" customHeight="1">
      <c r="A46" s="13" t="s">
        <v>46</v>
      </c>
      <c r="B46" s="3">
        <v>14231</v>
      </c>
      <c r="C46" s="3">
        <v>0</v>
      </c>
      <c r="D46" s="14">
        <v>0</v>
      </c>
      <c r="E46" s="8"/>
    </row>
    <row r="47" spans="1:5" ht="12.75" customHeight="1">
      <c r="A47" s="13"/>
      <c r="B47" s="3"/>
      <c r="C47" s="3"/>
      <c r="D47" s="14"/>
      <c r="E47" s="8"/>
    </row>
    <row r="48" spans="1:5" ht="12.75" customHeight="1">
      <c r="A48" s="13" t="s">
        <v>47</v>
      </c>
      <c r="B48" s="3">
        <v>0</v>
      </c>
      <c r="C48" s="3">
        <v>0</v>
      </c>
      <c r="D48" s="14">
        <v>0</v>
      </c>
      <c r="E48" s="8"/>
    </row>
    <row r="49" spans="1:5" ht="12.75" customHeight="1">
      <c r="A49" s="13" t="s">
        <v>48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 t="s">
        <v>49</v>
      </c>
      <c r="B50" s="3">
        <v>0</v>
      </c>
      <c r="C50" s="3">
        <v>0</v>
      </c>
      <c r="D50" s="14">
        <v>0</v>
      </c>
      <c r="E50" s="8"/>
    </row>
    <row r="51" spans="1:5" ht="12.75" customHeight="1">
      <c r="A51" s="13" t="s">
        <v>50</v>
      </c>
      <c r="B51" s="3">
        <v>31940</v>
      </c>
      <c r="C51" s="3">
        <v>0</v>
      </c>
      <c r="D51" s="14">
        <v>0</v>
      </c>
      <c r="E51" s="9"/>
    </row>
    <row r="52" spans="1:5" ht="12.75" customHeight="1">
      <c r="A52" s="13"/>
      <c r="B52" s="3"/>
      <c r="C52" s="3"/>
      <c r="D52" s="14"/>
      <c r="E52" s="8"/>
    </row>
    <row r="53" spans="1:5" ht="12.75" customHeight="1">
      <c r="A53" s="11" t="s">
        <v>51</v>
      </c>
      <c r="B53" s="4">
        <f>SUM(B55:B59)</f>
        <v>1481712</v>
      </c>
      <c r="C53" s="4">
        <f>SUM(C55:C59)</f>
        <v>361790</v>
      </c>
      <c r="D53" s="15">
        <f>SUM(D55:D59)</f>
        <v>202387</v>
      </c>
      <c r="E53" s="8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3" t="s">
        <v>52</v>
      </c>
      <c r="B55" s="3">
        <v>1137800</v>
      </c>
      <c r="C55" s="3">
        <v>304417</v>
      </c>
      <c r="D55" s="14">
        <v>162278</v>
      </c>
      <c r="E55" s="8"/>
    </row>
    <row r="56" spans="1:5" ht="12.75" customHeight="1">
      <c r="A56" s="13" t="s">
        <v>53</v>
      </c>
      <c r="B56" s="3">
        <v>38131</v>
      </c>
      <c r="C56" s="3">
        <v>0</v>
      </c>
      <c r="D56" s="14">
        <v>3111</v>
      </c>
      <c r="E56" s="8"/>
    </row>
    <row r="57" spans="1:5" ht="12.75" customHeight="1">
      <c r="A57" s="13" t="s">
        <v>54</v>
      </c>
      <c r="B57" s="3">
        <f>131029+8138</f>
        <v>139167</v>
      </c>
      <c r="C57" s="3">
        <v>29949</v>
      </c>
      <c r="D57" s="14">
        <v>16490</v>
      </c>
      <c r="E57" s="8"/>
    </row>
    <row r="58" spans="1:5" ht="12.75" customHeight="1">
      <c r="A58" s="13" t="s">
        <v>55</v>
      </c>
      <c r="B58" s="3">
        <v>3555</v>
      </c>
      <c r="C58" s="3">
        <v>2480</v>
      </c>
      <c r="D58" s="14">
        <v>2043</v>
      </c>
      <c r="E58" s="8"/>
    </row>
    <row r="59" spans="1:5" ht="12.75" customHeight="1">
      <c r="A59" s="13" t="s">
        <v>56</v>
      </c>
      <c r="B59" s="3">
        <f>123045+40014</f>
        <v>163059</v>
      </c>
      <c r="C59" s="3">
        <f>10599+14345</f>
        <v>24944</v>
      </c>
      <c r="D59" s="14">
        <f>5554+9979+2932</f>
        <v>18465</v>
      </c>
      <c r="E59" s="8"/>
    </row>
    <row r="60" spans="1:5" ht="12.75" customHeight="1">
      <c r="A60" s="13"/>
      <c r="B60" s="3"/>
      <c r="C60" s="3"/>
      <c r="D60" s="14"/>
      <c r="E60" s="8"/>
    </row>
    <row r="61" spans="1:5" ht="12.75" customHeight="1">
      <c r="A61" s="11" t="s">
        <v>57</v>
      </c>
      <c r="B61" s="4">
        <f>SUM(B42-B53)</f>
        <v>253249</v>
      </c>
      <c r="C61" s="26">
        <f>SUM(C42-C53)</f>
        <v>8035</v>
      </c>
      <c r="D61" s="15">
        <f>SUM(D42-D53)</f>
        <v>35386</v>
      </c>
      <c r="E61" s="8"/>
    </row>
    <row r="62" spans="1:5" ht="12.75" customHeight="1">
      <c r="A62" s="18"/>
      <c r="B62" s="3"/>
      <c r="C62" s="3"/>
      <c r="D62" s="14"/>
      <c r="E62" s="8"/>
    </row>
    <row r="63" spans="1:5" ht="12.75" customHeight="1">
      <c r="A63" s="23" t="s">
        <v>58</v>
      </c>
      <c r="B63" s="4">
        <v>198670</v>
      </c>
      <c r="C63" s="4">
        <v>1813</v>
      </c>
      <c r="D63" s="15">
        <v>179</v>
      </c>
      <c r="E63" s="9"/>
    </row>
    <row r="64" spans="1:5" ht="12.75" customHeight="1">
      <c r="A64" s="17"/>
      <c r="B64" s="3"/>
      <c r="C64" s="3"/>
      <c r="D64" s="14"/>
      <c r="E64" s="8"/>
    </row>
    <row r="65" spans="1:5" ht="12.75" customHeight="1">
      <c r="A65" s="11" t="s">
        <v>59</v>
      </c>
      <c r="B65" s="4">
        <v>58496</v>
      </c>
      <c r="C65" s="4">
        <v>0</v>
      </c>
      <c r="D65" s="15">
        <v>201</v>
      </c>
      <c r="E65" s="8"/>
    </row>
    <row r="66" spans="1:7" ht="12.75" customHeight="1">
      <c r="A66" s="11"/>
      <c r="B66" s="3"/>
      <c r="C66" s="3"/>
      <c r="D66" s="14"/>
      <c r="E66" s="8"/>
      <c r="G66" s="43"/>
    </row>
    <row r="67" spans="1:5" ht="12.75" customHeight="1">
      <c r="A67" s="11" t="s">
        <v>62</v>
      </c>
      <c r="B67" s="26">
        <f>SUM(B63-B65)</f>
        <v>140174</v>
      </c>
      <c r="C67" s="26">
        <f>SUM(C63-C65)</f>
        <v>1813</v>
      </c>
      <c r="D67" s="26">
        <f>SUM(D63-D65)</f>
        <v>-22</v>
      </c>
      <c r="E67" s="8"/>
    </row>
    <row r="68" spans="1:5" ht="12.75" customHeight="1">
      <c r="A68" s="13"/>
      <c r="B68" s="3"/>
      <c r="C68" s="3"/>
      <c r="D68" s="14"/>
      <c r="E68" s="8"/>
    </row>
    <row r="69" spans="1:5" ht="12.75" customHeight="1">
      <c r="A69" s="11" t="s">
        <v>60</v>
      </c>
      <c r="B69" s="4">
        <v>526</v>
      </c>
      <c r="C69" s="4">
        <v>0</v>
      </c>
      <c r="D69" s="15">
        <v>0</v>
      </c>
      <c r="E69" s="9"/>
    </row>
    <row r="70" spans="1:5" ht="12.75" customHeight="1">
      <c r="A70" s="11"/>
      <c r="B70" s="3"/>
      <c r="C70" s="3"/>
      <c r="D70" s="14"/>
      <c r="E70" s="8"/>
    </row>
    <row r="71" spans="1:5" ht="12.75" customHeight="1">
      <c r="A71" s="11" t="s">
        <v>61</v>
      </c>
      <c r="B71" s="28">
        <v>34502</v>
      </c>
      <c r="C71" s="28">
        <v>0</v>
      </c>
      <c r="D71" s="29">
        <v>5694</v>
      </c>
      <c r="E71" s="9"/>
    </row>
    <row r="72" spans="1:4" ht="12.75">
      <c r="A72" s="11"/>
      <c r="B72" s="45"/>
      <c r="C72" s="45"/>
      <c r="D72" s="46"/>
    </row>
    <row r="73" spans="1:4" ht="12.75">
      <c r="A73" s="11" t="s">
        <v>63</v>
      </c>
      <c r="B73" s="26">
        <f>SUM(B69-B71)</f>
        <v>-33976</v>
      </c>
      <c r="C73" s="26">
        <f>SUM(C69-C71)</f>
        <v>0</v>
      </c>
      <c r="D73" s="30">
        <f>SUM(D69-D71)</f>
        <v>-5694</v>
      </c>
    </row>
    <row r="74" spans="1:4" ht="12.75">
      <c r="A74" s="13"/>
      <c r="B74" s="45"/>
      <c r="C74" s="45"/>
      <c r="D74" s="46"/>
    </row>
    <row r="75" spans="1:4" ht="13.5" thickBot="1">
      <c r="A75" s="20" t="s">
        <v>64</v>
      </c>
      <c r="B75" s="27">
        <f>B61+B63+B69-B65-B71</f>
        <v>359447</v>
      </c>
      <c r="C75" s="27">
        <f>C61+C63+C69-C65-C71</f>
        <v>9848</v>
      </c>
      <c r="D75" s="31">
        <f>D61+D63+D69-D65-D71</f>
        <v>29670</v>
      </c>
    </row>
    <row r="77" ht="12.75">
      <c r="B77" s="43"/>
    </row>
  </sheetData>
  <mergeCells count="3">
    <mergeCell ref="A1:H1"/>
    <mergeCell ref="A2:H2"/>
    <mergeCell ref="A39:H39"/>
  </mergeCells>
  <printOptions/>
  <pageMargins left="0.75" right="0.75" top="0.47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B44" sqref="B44:D44"/>
    </sheetView>
  </sheetViews>
  <sheetFormatPr defaultColWidth="9.140625" defaultRowHeight="12.75"/>
  <cols>
    <col min="1" max="1" width="32.8515625" style="39" customWidth="1"/>
    <col min="2" max="2" width="10.7109375" style="39" customWidth="1"/>
    <col min="3" max="3" width="9.8515625" style="39" customWidth="1"/>
    <col min="4" max="4" width="9.57421875" style="39" customWidth="1"/>
    <col min="5" max="5" width="9.140625" style="39" customWidth="1"/>
    <col min="6" max="6" width="9.421875" style="39" customWidth="1"/>
    <col min="7" max="8" width="9.28125" style="39" customWidth="1"/>
    <col min="9" max="9" width="9.14062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75" t="s">
        <v>110</v>
      </c>
      <c r="B1" s="75"/>
      <c r="C1" s="75"/>
      <c r="D1" s="75"/>
      <c r="E1" s="75"/>
      <c r="F1" s="75"/>
      <c r="G1" s="75"/>
      <c r="H1" s="75"/>
      <c r="I1" s="71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2"/>
    </row>
    <row r="3" spans="1:11" ht="16.5" customHeight="1" thickBot="1">
      <c r="A3" s="1"/>
      <c r="B3" s="1"/>
      <c r="C3" s="40"/>
      <c r="D3" s="40"/>
      <c r="E3" s="2"/>
      <c r="F3" s="41"/>
      <c r="G3" s="41"/>
      <c r="H3" s="41"/>
      <c r="I3" s="41"/>
      <c r="K3" s="42" t="s">
        <v>0</v>
      </c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108</v>
      </c>
      <c r="J4" s="61" t="s">
        <v>8</v>
      </c>
      <c r="K4" s="62" t="s">
        <v>9</v>
      </c>
    </row>
    <row r="5" spans="1:11" ht="12.75" customHeight="1">
      <c r="A5" s="11" t="s">
        <v>20</v>
      </c>
      <c r="B5" s="5">
        <f>SUM(B7+B12+B20)</f>
        <v>3415684</v>
      </c>
      <c r="C5" s="5">
        <f>SUM(C7+C12+C20)</f>
        <v>2043181</v>
      </c>
      <c r="D5" s="5">
        <f>SUM(D7+D12+D20)</f>
        <v>198558</v>
      </c>
      <c r="E5" s="5">
        <f>SUM(E7+E12+E20)</f>
        <v>98662</v>
      </c>
      <c r="F5" s="5">
        <f>SUM(F7+F12+F20)</f>
        <v>276933</v>
      </c>
      <c r="G5" s="5">
        <f>SUM(G7+G12)</f>
        <v>371271</v>
      </c>
      <c r="H5" s="5">
        <f>SUM(H7+H12)</f>
        <v>249331</v>
      </c>
      <c r="I5" s="5">
        <f>SUM(I7+I12)</f>
        <v>21333</v>
      </c>
      <c r="J5" s="5">
        <f>SUM(J7+J12)</f>
        <v>430936</v>
      </c>
      <c r="K5" s="12">
        <f>SUM(K7+K12)</f>
        <v>406355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14</v>
      </c>
      <c r="B7" s="4">
        <f>SUM(B8:B10)</f>
        <v>3045424</v>
      </c>
      <c r="C7" s="4">
        <f aca="true" t="shared" si="0" ref="C7:K7">SUM(C8:C10)</f>
        <v>95857</v>
      </c>
      <c r="D7" s="4">
        <f>SUM(D8:D10)</f>
        <v>83346</v>
      </c>
      <c r="E7" s="4">
        <f t="shared" si="0"/>
        <v>1584</v>
      </c>
      <c r="F7" s="4">
        <f t="shared" si="0"/>
        <v>75184</v>
      </c>
      <c r="G7" s="4">
        <f t="shared" si="0"/>
        <v>5952</v>
      </c>
      <c r="H7" s="4">
        <f t="shared" si="0"/>
        <v>4882</v>
      </c>
      <c r="I7" s="4">
        <f t="shared" si="0"/>
        <v>2435</v>
      </c>
      <c r="J7" s="4">
        <f t="shared" si="0"/>
        <v>111900</v>
      </c>
      <c r="K7" s="15">
        <f t="shared" si="0"/>
        <v>287434</v>
      </c>
    </row>
    <row r="8" spans="1:11" ht="12.75" customHeight="1">
      <c r="A8" s="13" t="s">
        <v>18</v>
      </c>
      <c r="B8" s="3">
        <f>2029+734710+618736</f>
        <v>1355475</v>
      </c>
      <c r="C8" s="3">
        <v>95857</v>
      </c>
      <c r="D8" s="3">
        <v>83346</v>
      </c>
      <c r="E8" s="3">
        <v>1584</v>
      </c>
      <c r="F8" s="3">
        <v>75184</v>
      </c>
      <c r="G8" s="3">
        <v>5952</v>
      </c>
      <c r="H8" s="3">
        <v>4882</v>
      </c>
      <c r="I8" s="3">
        <v>2435</v>
      </c>
      <c r="J8" s="3">
        <v>110670</v>
      </c>
      <c r="K8" s="14">
        <f>190034+179+96891</f>
        <v>287104</v>
      </c>
    </row>
    <row r="9" spans="1:11" ht="12.75" customHeight="1">
      <c r="A9" s="13" t="s">
        <v>19</v>
      </c>
      <c r="B9" s="3">
        <v>577522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/>
      <c r="J9" s="3">
        <v>1230</v>
      </c>
      <c r="K9" s="14">
        <v>0</v>
      </c>
    </row>
    <row r="10" spans="1:11" ht="12.75" customHeight="1">
      <c r="A10" s="13" t="s">
        <v>36</v>
      </c>
      <c r="B10" s="73">
        <f>1111333+1094</f>
        <v>1112427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/>
      <c r="J10" s="3">
        <v>0</v>
      </c>
      <c r="K10" s="14">
        <v>330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370260</v>
      </c>
      <c r="C12" s="4">
        <f t="shared" si="1"/>
        <v>1947324</v>
      </c>
      <c r="D12" s="4">
        <f t="shared" si="1"/>
        <v>115212</v>
      </c>
      <c r="E12" s="4">
        <f t="shared" si="1"/>
        <v>97078</v>
      </c>
      <c r="F12" s="4">
        <f t="shared" si="1"/>
        <v>159067</v>
      </c>
      <c r="G12" s="4">
        <f t="shared" si="1"/>
        <v>365319</v>
      </c>
      <c r="H12" s="4">
        <f t="shared" si="1"/>
        <v>244449</v>
      </c>
      <c r="I12" s="4">
        <f t="shared" si="1"/>
        <v>18898</v>
      </c>
      <c r="J12" s="4">
        <f t="shared" si="1"/>
        <v>319036</v>
      </c>
      <c r="K12" s="15">
        <f t="shared" si="1"/>
        <v>118921</v>
      </c>
    </row>
    <row r="13" spans="1:11" ht="12.75" customHeight="1">
      <c r="A13" s="13" t="s">
        <v>40</v>
      </c>
      <c r="B13" s="3">
        <v>3060</v>
      </c>
      <c r="C13" s="3">
        <v>661661</v>
      </c>
      <c r="D13" s="3">
        <v>79279</v>
      </c>
      <c r="E13" s="3">
        <v>28998</v>
      </c>
      <c r="F13" s="3">
        <v>64105</v>
      </c>
      <c r="G13" s="3">
        <v>196925</v>
      </c>
      <c r="H13" s="3">
        <v>82382</v>
      </c>
      <c r="I13" s="3">
        <v>10786</v>
      </c>
      <c r="J13" s="3">
        <v>76416</v>
      </c>
      <c r="K13" s="14">
        <v>70935</v>
      </c>
    </row>
    <row r="14" spans="1:11" ht="12.75" customHeight="1">
      <c r="A14" s="13" t="s">
        <v>37</v>
      </c>
      <c r="B14" s="3">
        <f>326593+2212</f>
        <v>328805</v>
      </c>
      <c r="C14" s="3">
        <v>853000</v>
      </c>
      <c r="D14" s="3">
        <v>23699</v>
      </c>
      <c r="E14" s="3">
        <v>66446</v>
      </c>
      <c r="F14" s="3">
        <v>68696</v>
      </c>
      <c r="G14" s="3">
        <v>1656</v>
      </c>
      <c r="H14" s="3">
        <v>143324</v>
      </c>
      <c r="I14" s="3">
        <v>6755</v>
      </c>
      <c r="J14" s="3">
        <v>163026</v>
      </c>
      <c r="K14" s="14">
        <v>17395</v>
      </c>
    </row>
    <row r="15" spans="1:11" ht="12.75" customHeight="1">
      <c r="A15" s="13" t="s">
        <v>39</v>
      </c>
      <c r="B15" s="3">
        <v>19916</v>
      </c>
      <c r="C15" s="3">
        <v>0</v>
      </c>
      <c r="D15" s="3">
        <v>0</v>
      </c>
      <c r="E15" s="3">
        <v>0</v>
      </c>
      <c r="F15" s="3">
        <v>0</v>
      </c>
      <c r="G15" s="3">
        <v>139990</v>
      </c>
      <c r="H15" s="3">
        <v>0</v>
      </c>
      <c r="I15" s="3">
        <v>0</v>
      </c>
      <c r="J15" s="3">
        <v>0</v>
      </c>
      <c r="K15" s="14">
        <v>3866</v>
      </c>
    </row>
    <row r="16" spans="1:11" ht="12.75" customHeight="1">
      <c r="A16" s="13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v>0</v>
      </c>
    </row>
    <row r="17" spans="1:11" ht="12.75" customHeight="1">
      <c r="A17" s="13" t="s">
        <v>41</v>
      </c>
      <c r="B17" s="3">
        <v>13102</v>
      </c>
      <c r="C17" s="3">
        <f>3240+11804</f>
        <v>15044</v>
      </c>
      <c r="D17" s="3">
        <f>1729+2256</f>
        <v>3985</v>
      </c>
      <c r="E17" s="3">
        <f>278+493</f>
        <v>771</v>
      </c>
      <c r="F17" s="3">
        <f>1528+1</f>
        <v>1529</v>
      </c>
      <c r="G17" s="3">
        <f>2897+6695</f>
        <v>9592</v>
      </c>
      <c r="H17" s="3">
        <f>3820+4159</f>
        <v>7979</v>
      </c>
      <c r="I17" s="3">
        <f>82+233</f>
        <v>315</v>
      </c>
      <c r="J17" s="3">
        <v>4614</v>
      </c>
      <c r="K17" s="14">
        <f>4029+7892</f>
        <v>11921</v>
      </c>
    </row>
    <row r="18" spans="1:11" ht="12.75" customHeight="1">
      <c r="A18" s="16" t="s">
        <v>42</v>
      </c>
      <c r="B18" s="3">
        <v>5377</v>
      </c>
      <c r="C18" s="3">
        <v>417619</v>
      </c>
      <c r="D18" s="3">
        <v>8249</v>
      </c>
      <c r="E18" s="3">
        <v>863</v>
      </c>
      <c r="F18" s="3">
        <v>24737</v>
      </c>
      <c r="G18" s="3">
        <v>17156</v>
      </c>
      <c r="H18" s="3">
        <v>10764</v>
      </c>
      <c r="I18" s="3">
        <v>1042</v>
      </c>
      <c r="J18" s="3">
        <v>74980</v>
      </c>
      <c r="K18" s="14">
        <v>14804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42682</v>
      </c>
      <c r="G20" s="4">
        <v>0</v>
      </c>
      <c r="H20" s="4">
        <v>0</v>
      </c>
      <c r="I20" s="4"/>
      <c r="J20" s="4">
        <v>0</v>
      </c>
      <c r="K20" s="15">
        <v>0</v>
      </c>
    </row>
    <row r="21" spans="1:11" ht="12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21</v>
      </c>
      <c r="B22" s="4">
        <f>SUM(B24+B31+B36+B41)</f>
        <v>3415684</v>
      </c>
      <c r="C22" s="4">
        <f aca="true" t="shared" si="2" ref="C22:K22">SUM(C24+C31+C36+C41)</f>
        <v>2043181</v>
      </c>
      <c r="D22" s="4">
        <f>SUM(D24+D31+D36+D41)</f>
        <v>198558</v>
      </c>
      <c r="E22" s="4">
        <f t="shared" si="2"/>
        <v>98662</v>
      </c>
      <c r="F22" s="4">
        <f t="shared" si="2"/>
        <v>276933</v>
      </c>
      <c r="G22" s="4">
        <f t="shared" si="2"/>
        <v>371271</v>
      </c>
      <c r="H22" s="4">
        <f>SUM(H24+H31+H36+H41)</f>
        <v>249331</v>
      </c>
      <c r="I22" s="4">
        <f>SUM(I24+I31+I36+I41)</f>
        <v>21333</v>
      </c>
      <c r="J22" s="4">
        <f t="shared" si="2"/>
        <v>430936</v>
      </c>
      <c r="K22" s="15">
        <f t="shared" si="2"/>
        <v>406355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 aca="true" t="shared" si="3" ref="B24:K24">SUM(B25:B29)</f>
        <v>2471846</v>
      </c>
      <c r="C24" s="4">
        <f t="shared" si="3"/>
        <v>639005</v>
      </c>
      <c r="D24" s="4">
        <f t="shared" si="3"/>
        <v>16469</v>
      </c>
      <c r="E24" s="4">
        <f t="shared" si="3"/>
        <v>16140</v>
      </c>
      <c r="F24" s="4">
        <f t="shared" si="3"/>
        <v>0</v>
      </c>
      <c r="G24" s="4">
        <f t="shared" si="3"/>
        <v>58647</v>
      </c>
      <c r="H24" s="4">
        <f t="shared" si="3"/>
        <v>191904</v>
      </c>
      <c r="I24" s="4">
        <f t="shared" si="3"/>
        <v>3500</v>
      </c>
      <c r="J24" s="4">
        <f t="shared" si="3"/>
        <v>213615</v>
      </c>
      <c r="K24" s="15">
        <f t="shared" si="3"/>
        <v>216770</v>
      </c>
    </row>
    <row r="25" spans="1:11" ht="12.75" customHeight="1">
      <c r="A25" s="13" t="s">
        <v>22</v>
      </c>
      <c r="B25" s="3">
        <v>408000</v>
      </c>
      <c r="C25" s="3">
        <v>225193</v>
      </c>
      <c r="D25" s="3">
        <v>22895</v>
      </c>
      <c r="E25" s="3">
        <v>9380</v>
      </c>
      <c r="F25" s="3">
        <v>43</v>
      </c>
      <c r="G25" s="3">
        <v>124071</v>
      </c>
      <c r="H25" s="3">
        <v>263</v>
      </c>
      <c r="I25" s="3">
        <v>289</v>
      </c>
      <c r="J25" s="3">
        <v>118694</v>
      </c>
      <c r="K25" s="14">
        <v>77182</v>
      </c>
    </row>
    <row r="26" spans="1:11" ht="12.75" customHeight="1">
      <c r="A26" s="13" t="s">
        <v>23</v>
      </c>
      <c r="B26" s="3">
        <f>33899+4256+31697</f>
        <v>69852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4">
        <v>130</v>
      </c>
    </row>
    <row r="27" spans="1:11" ht="12.75" customHeight="1">
      <c r="A27" s="13" t="s">
        <v>24</v>
      </c>
      <c r="B27" s="3">
        <v>1903783</v>
      </c>
      <c r="C27" s="3">
        <v>413812</v>
      </c>
      <c r="D27" s="3">
        <v>12100</v>
      </c>
      <c r="E27" s="3">
        <v>6760</v>
      </c>
      <c r="F27" s="3">
        <v>276</v>
      </c>
      <c r="G27" s="3">
        <v>3042</v>
      </c>
      <c r="H27" s="3">
        <v>191237</v>
      </c>
      <c r="I27" s="3">
        <v>3203</v>
      </c>
      <c r="J27" s="3">
        <v>94921</v>
      </c>
      <c r="K27" s="14">
        <v>12606</v>
      </c>
    </row>
    <row r="28" spans="1:11" ht="12.75" customHeight="1">
      <c r="A28" s="13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4">
        <v>144177</v>
      </c>
    </row>
    <row r="29" spans="1:11" ht="12.75" customHeight="1">
      <c r="A29" s="13" t="s">
        <v>25</v>
      </c>
      <c r="B29" s="3">
        <v>0</v>
      </c>
      <c r="C29" s="3">
        <v>0</v>
      </c>
      <c r="D29" s="24">
        <v>-18526</v>
      </c>
      <c r="E29" s="24">
        <v>0</v>
      </c>
      <c r="F29" s="24">
        <v>-319</v>
      </c>
      <c r="G29" s="24">
        <v>-68466</v>
      </c>
      <c r="H29" s="3">
        <v>0</v>
      </c>
      <c r="I29" s="3">
        <v>0</v>
      </c>
      <c r="J29" s="3">
        <v>0</v>
      </c>
      <c r="K29" s="24">
        <v>-17325</v>
      </c>
    </row>
    <row r="30" spans="1:11" ht="12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14"/>
    </row>
    <row r="31" spans="1:11" ht="12.75" customHeight="1">
      <c r="A31" s="11" t="s">
        <v>17</v>
      </c>
      <c r="B31" s="4">
        <f aca="true" t="shared" si="4" ref="B31:K31">SUM(B32:B34)</f>
        <v>840821</v>
      </c>
      <c r="C31" s="4">
        <f t="shared" si="4"/>
        <v>710028</v>
      </c>
      <c r="D31" s="4">
        <f t="shared" si="4"/>
        <v>133769</v>
      </c>
      <c r="E31" s="4">
        <f t="shared" si="4"/>
        <v>2906</v>
      </c>
      <c r="F31" s="4">
        <f t="shared" si="4"/>
        <v>196870</v>
      </c>
      <c r="G31" s="4">
        <f t="shared" si="4"/>
        <v>78155</v>
      </c>
      <c r="H31" s="4">
        <f t="shared" si="4"/>
        <v>29868</v>
      </c>
      <c r="I31" s="4">
        <f t="shared" si="4"/>
        <v>0</v>
      </c>
      <c r="J31" s="4">
        <f t="shared" si="4"/>
        <v>16406</v>
      </c>
      <c r="K31" s="15">
        <f t="shared" si="4"/>
        <v>77719</v>
      </c>
    </row>
    <row r="32" spans="1:11" ht="12.75" customHeight="1">
      <c r="A32" s="18" t="s">
        <v>26</v>
      </c>
      <c r="B32" s="3">
        <v>42228</v>
      </c>
      <c r="C32" s="3">
        <v>37029</v>
      </c>
      <c r="D32" s="3">
        <v>662</v>
      </c>
      <c r="E32" s="3">
        <v>2906</v>
      </c>
      <c r="F32" s="3">
        <v>11266</v>
      </c>
      <c r="G32" s="3">
        <v>9397</v>
      </c>
      <c r="H32" s="3">
        <v>1161</v>
      </c>
      <c r="I32" s="3">
        <v>0</v>
      </c>
      <c r="J32" s="3">
        <v>11030</v>
      </c>
      <c r="K32" s="14">
        <v>11807</v>
      </c>
    </row>
    <row r="33" spans="1:11" ht="12.75" customHeight="1">
      <c r="A33" s="19" t="s">
        <v>27</v>
      </c>
      <c r="B33" s="3">
        <v>798593</v>
      </c>
      <c r="C33" s="3">
        <v>0</v>
      </c>
      <c r="D33" s="3">
        <v>61728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5376</v>
      </c>
      <c r="K33" s="14">
        <v>0</v>
      </c>
    </row>
    <row r="34" spans="1:11" ht="12.75" customHeight="1">
      <c r="A34" s="18" t="s">
        <v>35</v>
      </c>
      <c r="B34" s="3">
        <v>0</v>
      </c>
      <c r="C34" s="3">
        <v>672999</v>
      </c>
      <c r="D34" s="3">
        <v>71379</v>
      </c>
      <c r="E34" s="3">
        <v>0</v>
      </c>
      <c r="F34" s="3">
        <v>185604</v>
      </c>
      <c r="G34" s="3">
        <v>68758</v>
      </c>
      <c r="H34" s="3">
        <v>28707</v>
      </c>
      <c r="I34" s="3">
        <v>0</v>
      </c>
      <c r="J34" s="3">
        <v>0</v>
      </c>
      <c r="K34" s="14">
        <v>65912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28</v>
      </c>
      <c r="B36" s="4">
        <f>SUM(B37:B39)</f>
        <v>65147</v>
      </c>
      <c r="C36" s="4">
        <f aca="true" t="shared" si="5" ref="C36:K36">SUM(C37:C39)</f>
        <v>692965</v>
      </c>
      <c r="D36" s="4">
        <f>SUM(D37:D39)</f>
        <v>47156</v>
      </c>
      <c r="E36" s="4">
        <f t="shared" si="5"/>
        <v>79528</v>
      </c>
      <c r="F36" s="4">
        <f t="shared" si="5"/>
        <v>78678</v>
      </c>
      <c r="G36" s="4">
        <f t="shared" si="5"/>
        <v>234327</v>
      </c>
      <c r="H36" s="4">
        <f>SUM(H37:H39)</f>
        <v>27497</v>
      </c>
      <c r="I36" s="4">
        <f>SUM(I37:I39)</f>
        <v>17833</v>
      </c>
      <c r="J36" s="4">
        <f t="shared" si="5"/>
        <v>199190</v>
      </c>
      <c r="K36" s="15">
        <f t="shared" si="5"/>
        <v>106773</v>
      </c>
    </row>
    <row r="37" spans="1:11" ht="12.75" customHeight="1">
      <c r="A37" s="13" t="s">
        <v>33</v>
      </c>
      <c r="B37" s="3">
        <v>0</v>
      </c>
      <c r="C37" s="3">
        <v>262088</v>
      </c>
      <c r="D37" s="3">
        <v>0</v>
      </c>
      <c r="E37" s="3">
        <v>19178</v>
      </c>
      <c r="F37" s="3">
        <v>0</v>
      </c>
      <c r="G37" s="3">
        <v>0</v>
      </c>
      <c r="H37" s="3">
        <v>10000</v>
      </c>
      <c r="I37" s="3">
        <v>10744</v>
      </c>
      <c r="J37" s="3">
        <v>0</v>
      </c>
      <c r="K37" s="14">
        <v>17887</v>
      </c>
    </row>
    <row r="38" spans="1:11" ht="12.75" customHeight="1">
      <c r="A38" s="13" t="s">
        <v>29</v>
      </c>
      <c r="B38" s="3">
        <v>26183</v>
      </c>
      <c r="C38" s="3">
        <v>393345</v>
      </c>
      <c r="D38" s="3">
        <v>45096</v>
      </c>
      <c r="E38" s="3">
        <v>56407</v>
      </c>
      <c r="F38" s="3">
        <v>74827</v>
      </c>
      <c r="G38" s="3">
        <v>209667</v>
      </c>
      <c r="H38" s="3">
        <v>13856</v>
      </c>
      <c r="I38" s="3">
        <v>6204</v>
      </c>
      <c r="J38" s="3">
        <v>160297</v>
      </c>
      <c r="K38" s="14">
        <f>80655+203</f>
        <v>80858</v>
      </c>
    </row>
    <row r="39" spans="1:11" ht="12.75" customHeight="1">
      <c r="A39" s="13" t="s">
        <v>30</v>
      </c>
      <c r="B39" s="3">
        <f>19405+18660+899</f>
        <v>38964</v>
      </c>
      <c r="C39" s="3">
        <f>36659+873</f>
        <v>37532</v>
      </c>
      <c r="D39" s="3">
        <f>2022+38</f>
        <v>2060</v>
      </c>
      <c r="E39" s="3">
        <f>3407+536</f>
        <v>3943</v>
      </c>
      <c r="F39" s="3">
        <v>3851</v>
      </c>
      <c r="G39" s="3">
        <f>24100+560</f>
        <v>24660</v>
      </c>
      <c r="H39" s="3">
        <f>1628+2013</f>
        <v>3641</v>
      </c>
      <c r="I39" s="3">
        <v>885</v>
      </c>
      <c r="J39" s="3">
        <f>34352+3995+385+161</f>
        <v>38893</v>
      </c>
      <c r="K39" s="14">
        <f>6255+1773</f>
        <v>8028</v>
      </c>
    </row>
    <row r="40" spans="1:11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14"/>
    </row>
    <row r="41" spans="1:11" ht="12.75" customHeight="1" thickBot="1">
      <c r="A41" s="20" t="s">
        <v>31</v>
      </c>
      <c r="B41" s="21">
        <v>37870</v>
      </c>
      <c r="C41" s="21">
        <v>1183</v>
      </c>
      <c r="D41" s="21">
        <v>1164</v>
      </c>
      <c r="E41" s="21">
        <v>88</v>
      </c>
      <c r="F41" s="21">
        <v>1385</v>
      </c>
      <c r="G41" s="21">
        <v>142</v>
      </c>
      <c r="H41" s="21">
        <v>62</v>
      </c>
      <c r="I41" s="21">
        <v>0</v>
      </c>
      <c r="J41" s="21">
        <v>1725</v>
      </c>
      <c r="K41" s="22">
        <v>5093</v>
      </c>
    </row>
    <row r="42" spans="1:9" ht="16.5" customHeight="1">
      <c r="A42" s="75" t="s">
        <v>112</v>
      </c>
      <c r="B42" s="75"/>
      <c r="C42" s="75"/>
      <c r="D42" s="75"/>
      <c r="E42" s="75"/>
      <c r="F42" s="75"/>
      <c r="G42" s="75"/>
      <c r="H42" s="75"/>
      <c r="I42" s="71"/>
    </row>
    <row r="43" spans="1:5" ht="15.75" thickBot="1">
      <c r="A43" s="1"/>
      <c r="B43" s="1"/>
      <c r="C43" s="40"/>
      <c r="D43" s="2" t="s">
        <v>13</v>
      </c>
      <c r="E43" s="2"/>
    </row>
    <row r="44" spans="1:5" ht="21">
      <c r="A44" s="10"/>
      <c r="B44" s="63" t="s">
        <v>10</v>
      </c>
      <c r="C44" s="61" t="s">
        <v>11</v>
      </c>
      <c r="D44" s="62" t="s">
        <v>12</v>
      </c>
      <c r="E44" s="6"/>
    </row>
    <row r="45" spans="1:5" ht="12.75" customHeight="1">
      <c r="A45" s="11" t="s">
        <v>20</v>
      </c>
      <c r="B45" s="5">
        <f>SUM(B47+B51+B58)</f>
        <v>2029264</v>
      </c>
      <c r="C45" s="5">
        <f>SUM(C47+C51+C58)</f>
        <v>901052</v>
      </c>
      <c r="D45" s="12">
        <f>SUM(D47+D51+D58)</f>
        <v>743188</v>
      </c>
      <c r="E45" s="7"/>
    </row>
    <row r="46" spans="1:5" ht="12.75" customHeight="1">
      <c r="A46" s="13"/>
      <c r="B46" s="3"/>
      <c r="C46" s="3"/>
      <c r="D46" s="14"/>
      <c r="E46" s="8"/>
    </row>
    <row r="47" spans="1:5" ht="12.75" customHeight="1">
      <c r="A47" s="11" t="s">
        <v>14</v>
      </c>
      <c r="B47" s="4">
        <f>SUM(B48:B49)</f>
        <v>39368</v>
      </c>
      <c r="C47" s="4">
        <f>SUM(C48:C49)</f>
        <v>20929</v>
      </c>
      <c r="D47" s="15">
        <f>SUM(D48:D49)</f>
        <v>9354</v>
      </c>
      <c r="E47" s="8"/>
    </row>
    <row r="48" spans="1:5" ht="12.75" customHeight="1">
      <c r="A48" s="13" t="s">
        <v>18</v>
      </c>
      <c r="B48" s="3">
        <v>39368</v>
      </c>
      <c r="C48" s="3">
        <v>20929</v>
      </c>
      <c r="D48" s="14">
        <v>9354</v>
      </c>
      <c r="E48" s="8"/>
    </row>
    <row r="49" spans="1:5" ht="12.75" customHeight="1">
      <c r="A49" s="13" t="s">
        <v>19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15</v>
      </c>
      <c r="B51" s="4">
        <f>SUM(B52:B56)</f>
        <v>1989896</v>
      </c>
      <c r="C51" s="4">
        <f>SUM(C52:C56)</f>
        <v>880123</v>
      </c>
      <c r="D51" s="15">
        <f>SUM(D52:D56)</f>
        <v>733834</v>
      </c>
      <c r="E51" s="8"/>
    </row>
    <row r="52" spans="1:5" ht="12.75" customHeight="1">
      <c r="A52" s="13" t="s">
        <v>40</v>
      </c>
      <c r="B52" s="3">
        <f>350436+44977</f>
        <v>395413</v>
      </c>
      <c r="C52" s="3">
        <v>249110</v>
      </c>
      <c r="D52" s="14">
        <v>137041</v>
      </c>
      <c r="E52" s="8"/>
    </row>
    <row r="53" spans="1:5" ht="12.75" customHeight="1">
      <c r="A53" s="13" t="s">
        <v>37</v>
      </c>
      <c r="B53" s="3">
        <f>27498+1077278+102560</f>
        <v>1207336</v>
      </c>
      <c r="C53" s="3">
        <v>468424</v>
      </c>
      <c r="D53" s="14">
        <v>581307</v>
      </c>
      <c r="E53" s="8"/>
    </row>
    <row r="54" spans="1:5" ht="12.75" customHeight="1">
      <c r="A54" s="13" t="s">
        <v>39</v>
      </c>
      <c r="B54" s="3">
        <v>0</v>
      </c>
      <c r="C54" s="3">
        <v>139805</v>
      </c>
      <c r="D54" s="14">
        <v>0</v>
      </c>
      <c r="E54" s="9"/>
    </row>
    <row r="55" spans="1:5" ht="12.75" customHeight="1">
      <c r="A55" s="13" t="s">
        <v>41</v>
      </c>
      <c r="B55" s="3">
        <f>3359+216508</f>
        <v>219867</v>
      </c>
      <c r="C55" s="3">
        <v>0</v>
      </c>
      <c r="D55" s="14">
        <v>1486</v>
      </c>
      <c r="E55" s="8"/>
    </row>
    <row r="56" spans="1:5" ht="12.75" customHeight="1">
      <c r="A56" s="16" t="s">
        <v>42</v>
      </c>
      <c r="B56" s="3">
        <v>167280</v>
      </c>
      <c r="C56" s="3">
        <v>22784</v>
      </c>
      <c r="D56" s="14">
        <v>14000</v>
      </c>
      <c r="E56" s="8"/>
    </row>
    <row r="57" spans="1:5" ht="12.75" customHeight="1">
      <c r="A57" s="13"/>
      <c r="B57" s="3"/>
      <c r="C57" s="3"/>
      <c r="D57" s="14"/>
      <c r="E57" s="8"/>
    </row>
    <row r="58" spans="1:5" ht="12.75" customHeight="1">
      <c r="A58" s="11" t="s">
        <v>34</v>
      </c>
      <c r="B58" s="4"/>
      <c r="C58" s="4">
        <v>0</v>
      </c>
      <c r="D58" s="15">
        <v>0</v>
      </c>
      <c r="E58" s="8"/>
    </row>
    <row r="59" spans="1:5" ht="12.75" customHeight="1">
      <c r="A59" s="17"/>
      <c r="B59" s="3"/>
      <c r="C59" s="3"/>
      <c r="D59" s="14"/>
      <c r="E59" s="8"/>
    </row>
    <row r="60" spans="1:5" ht="12.75" customHeight="1">
      <c r="A60" s="11" t="s">
        <v>21</v>
      </c>
      <c r="B60" s="4">
        <f>SUM(B62+B69+B73+B78)</f>
        <v>2029264</v>
      </c>
      <c r="C60" s="4">
        <f>SUM(C62+C69+C73+C78)</f>
        <v>901052</v>
      </c>
      <c r="D60" s="15">
        <f>SUM(D62+D69+D73+D78)</f>
        <v>743188</v>
      </c>
      <c r="E60" s="8"/>
    </row>
    <row r="61" spans="1:5" ht="12.75" customHeight="1">
      <c r="A61" s="13"/>
      <c r="B61" s="3"/>
      <c r="C61" s="3"/>
      <c r="D61" s="14"/>
      <c r="E61" s="8"/>
    </row>
    <row r="62" spans="1:5" ht="12.75" customHeight="1">
      <c r="A62" s="11" t="s">
        <v>16</v>
      </c>
      <c r="B62" s="4">
        <f>SUM(B63:B67)</f>
        <v>424675</v>
      </c>
      <c r="C62" s="4">
        <f>SUM(C63:C67)</f>
        <v>152170</v>
      </c>
      <c r="D62" s="15">
        <f>SUM(D63:D67)</f>
        <v>54626</v>
      </c>
      <c r="E62" s="8"/>
    </row>
    <row r="63" spans="1:5" ht="12.75" customHeight="1">
      <c r="A63" s="13" t="s">
        <v>22</v>
      </c>
      <c r="B63" s="3">
        <v>252</v>
      </c>
      <c r="C63" s="3">
        <v>17000</v>
      </c>
      <c r="D63" s="14">
        <v>34438</v>
      </c>
      <c r="E63" s="8"/>
    </row>
    <row r="64" spans="1:5" ht="12.75" customHeight="1">
      <c r="A64" s="13" t="s">
        <v>23</v>
      </c>
      <c r="B64" s="3">
        <v>0</v>
      </c>
      <c r="C64" s="3">
        <v>0</v>
      </c>
      <c r="D64" s="14">
        <v>0</v>
      </c>
      <c r="E64" s="8"/>
    </row>
    <row r="65" spans="1:5" ht="12.75" customHeight="1">
      <c r="A65" s="13" t="s">
        <v>24</v>
      </c>
      <c r="B65" s="3">
        <v>424423</v>
      </c>
      <c r="C65" s="3">
        <v>135170</v>
      </c>
      <c r="D65" s="14">
        <v>23737</v>
      </c>
      <c r="E65" s="8"/>
    </row>
    <row r="66" spans="1:5" ht="12.75" customHeight="1">
      <c r="A66" s="13" t="s">
        <v>32</v>
      </c>
      <c r="B66" s="3">
        <v>0</v>
      </c>
      <c r="C66" s="3">
        <v>0</v>
      </c>
      <c r="D66" s="14">
        <v>0</v>
      </c>
      <c r="E66" s="9"/>
    </row>
    <row r="67" spans="1:5" ht="12.75" customHeight="1">
      <c r="A67" s="13" t="s">
        <v>25</v>
      </c>
      <c r="B67" s="24"/>
      <c r="C67" s="3">
        <v>0</v>
      </c>
      <c r="D67" s="24">
        <v>-3549</v>
      </c>
      <c r="E67" s="8"/>
    </row>
    <row r="68" spans="1:5" ht="12.75" customHeight="1">
      <c r="A68" s="13"/>
      <c r="B68" s="3"/>
      <c r="C68" s="3"/>
      <c r="D68" s="14"/>
      <c r="E68" s="8"/>
    </row>
    <row r="69" spans="1:7" ht="12.75" customHeight="1">
      <c r="A69" s="11" t="s">
        <v>17</v>
      </c>
      <c r="B69" s="4">
        <f>SUM(B70:B71)</f>
        <v>0</v>
      </c>
      <c r="C69" s="4">
        <f>SUM(C70:C71)</f>
        <v>0</v>
      </c>
      <c r="D69" s="15">
        <f>SUM(D70:D71)</f>
        <v>1328</v>
      </c>
      <c r="E69" s="8"/>
      <c r="G69" s="43"/>
    </row>
    <row r="70" spans="1:5" ht="12.75" customHeight="1">
      <c r="A70" s="18" t="s">
        <v>26</v>
      </c>
      <c r="B70" s="3">
        <v>0</v>
      </c>
      <c r="C70" s="3">
        <v>0</v>
      </c>
      <c r="D70" s="14">
        <v>0</v>
      </c>
      <c r="E70" s="8"/>
    </row>
    <row r="71" spans="1:5" ht="12.75" customHeight="1">
      <c r="A71" s="19" t="s">
        <v>27</v>
      </c>
      <c r="B71" s="3">
        <v>0</v>
      </c>
      <c r="C71" s="3">
        <v>0</v>
      </c>
      <c r="D71" s="14">
        <v>1328</v>
      </c>
      <c r="E71" s="8"/>
    </row>
    <row r="72" spans="1:5" ht="12.75" customHeight="1">
      <c r="A72" s="17"/>
      <c r="B72" s="3"/>
      <c r="C72" s="3"/>
      <c r="D72" s="14"/>
      <c r="E72" s="9"/>
    </row>
    <row r="73" spans="1:5" ht="12.75" customHeight="1">
      <c r="A73" s="11" t="s">
        <v>28</v>
      </c>
      <c r="B73" s="4">
        <f>SUM(B74:B76)</f>
        <v>1604589</v>
      </c>
      <c r="C73" s="4">
        <f>SUM(C74:C76)</f>
        <v>748882</v>
      </c>
      <c r="D73" s="15">
        <f>SUM(D74:D76)</f>
        <v>687234</v>
      </c>
      <c r="E73" s="8"/>
    </row>
    <row r="74" spans="1:5" ht="12.75" customHeight="1">
      <c r="A74" s="13" t="s">
        <v>33</v>
      </c>
      <c r="B74" s="3">
        <v>0</v>
      </c>
      <c r="C74" s="3">
        <v>0</v>
      </c>
      <c r="D74" s="14">
        <v>0</v>
      </c>
      <c r="E74" s="9"/>
    </row>
    <row r="75" spans="1:5" ht="12.75" customHeight="1">
      <c r="A75" s="13" t="s">
        <v>29</v>
      </c>
      <c r="B75" s="3">
        <f>1305714+25707+26513</f>
        <v>1357934</v>
      </c>
      <c r="C75" s="3">
        <v>748471</v>
      </c>
      <c r="D75" s="14">
        <v>687234</v>
      </c>
      <c r="E75" s="8"/>
    </row>
    <row r="76" spans="1:5" ht="12.75" customHeight="1">
      <c r="A76" s="13" t="s">
        <v>30</v>
      </c>
      <c r="B76" s="3">
        <f>31675+147991+66989</f>
        <v>246655</v>
      </c>
      <c r="C76" s="3">
        <v>411</v>
      </c>
      <c r="D76" s="14">
        <v>0</v>
      </c>
      <c r="E76" s="9"/>
    </row>
    <row r="77" spans="1:5" ht="12.75" customHeight="1">
      <c r="A77" s="13"/>
      <c r="B77" s="3"/>
      <c r="C77" s="3"/>
      <c r="D77" s="14"/>
      <c r="E77" s="9"/>
    </row>
    <row r="78" spans="1:5" ht="12.75" customHeight="1" thickBot="1">
      <c r="A78" s="20" t="s">
        <v>31</v>
      </c>
      <c r="B78" s="21">
        <v>0</v>
      </c>
      <c r="C78" s="21">
        <v>0</v>
      </c>
      <c r="D78" s="22">
        <v>0</v>
      </c>
      <c r="E78" s="9"/>
    </row>
  </sheetData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C1">
      <selection activeCell="F46" sqref="F46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3" width="9.7109375" style="39" customWidth="1"/>
    <col min="4" max="4" width="9.57421875" style="39" customWidth="1"/>
    <col min="5" max="5" width="9.28125" style="39" customWidth="1"/>
    <col min="6" max="6" width="9.57421875" style="39" customWidth="1"/>
    <col min="7" max="7" width="9.421875" style="39" customWidth="1"/>
    <col min="8" max="8" width="9.57421875" style="39" customWidth="1"/>
    <col min="9" max="9" width="8.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6.5" customHeight="1" thickBot="1">
      <c r="A2" s="1"/>
      <c r="B2" s="1"/>
      <c r="C2" s="40"/>
      <c r="D2" s="2"/>
      <c r="E2" s="41"/>
      <c r="F2" s="41"/>
      <c r="G2" s="41"/>
      <c r="H2" s="41"/>
      <c r="I2" s="41"/>
      <c r="K2" s="44" t="s">
        <v>0</v>
      </c>
    </row>
    <row r="3" spans="1:11" ht="16.5" customHeight="1">
      <c r="A3" s="10"/>
      <c r="B3" s="60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108</v>
      </c>
      <c r="J3" s="61" t="s">
        <v>8</v>
      </c>
      <c r="K3" s="62" t="s">
        <v>9</v>
      </c>
    </row>
    <row r="4" spans="1:11" ht="12.75" customHeight="1">
      <c r="A4" s="11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 customHeight="1">
      <c r="A5" s="13" t="s">
        <v>66</v>
      </c>
      <c r="B5" s="3">
        <v>257458</v>
      </c>
      <c r="C5" s="3">
        <v>545802</v>
      </c>
      <c r="D5" s="3">
        <v>43562</v>
      </c>
      <c r="E5" s="3">
        <v>51907</v>
      </c>
      <c r="F5" s="3">
        <v>51901</v>
      </c>
      <c r="G5" s="3">
        <v>172361</v>
      </c>
      <c r="H5" s="3">
        <v>77402</v>
      </c>
      <c r="I5" s="3">
        <v>8531</v>
      </c>
      <c r="J5" s="3">
        <v>132991</v>
      </c>
      <c r="K5" s="14">
        <v>122385</v>
      </c>
    </row>
    <row r="6" spans="1:11" ht="12.75" customHeight="1">
      <c r="A6" s="13" t="s">
        <v>67</v>
      </c>
      <c r="B6" s="3"/>
      <c r="C6" s="3"/>
      <c r="D6" s="3"/>
      <c r="E6" s="3"/>
      <c r="F6" s="3"/>
      <c r="G6" s="3"/>
      <c r="H6" s="3"/>
      <c r="I6" s="3"/>
      <c r="J6" s="3">
        <v>926</v>
      </c>
      <c r="K6" s="14">
        <v>16</v>
      </c>
    </row>
    <row r="7" spans="1:11" ht="12.75" customHeight="1">
      <c r="A7" s="13" t="s">
        <v>68</v>
      </c>
      <c r="B7" s="3">
        <v>1794</v>
      </c>
      <c r="C7" s="3">
        <v>19661</v>
      </c>
      <c r="D7" s="3">
        <v>4111</v>
      </c>
      <c r="E7" s="3">
        <v>10</v>
      </c>
      <c r="F7" s="3">
        <v>1552</v>
      </c>
      <c r="G7" s="3">
        <v>8</v>
      </c>
      <c r="H7" s="3">
        <v>21</v>
      </c>
      <c r="I7" s="3"/>
      <c r="J7" s="3">
        <v>6573</v>
      </c>
      <c r="K7" s="14">
        <v>8215</v>
      </c>
    </row>
    <row r="8" spans="1:11" ht="12.75" customHeight="1">
      <c r="A8" s="13" t="s">
        <v>69</v>
      </c>
      <c r="B8" s="24">
        <v>-73819</v>
      </c>
      <c r="C8" s="24">
        <v>-511437</v>
      </c>
      <c r="D8" s="24">
        <v>-48673</v>
      </c>
      <c r="E8" s="24">
        <v>-61382</v>
      </c>
      <c r="F8" s="24">
        <v>-40304</v>
      </c>
      <c r="G8" s="24">
        <v>-151838</v>
      </c>
      <c r="H8" s="24">
        <v>-52155</v>
      </c>
      <c r="I8" s="24">
        <v>-4782</v>
      </c>
      <c r="J8" s="24">
        <v>-125623</v>
      </c>
      <c r="K8" s="35">
        <v>-104288</v>
      </c>
    </row>
    <row r="9" spans="1:11" ht="12.75" customHeight="1">
      <c r="A9" s="13" t="s">
        <v>70</v>
      </c>
      <c r="B9" s="24">
        <v>-31519</v>
      </c>
      <c r="C9" s="24">
        <v>-88163</v>
      </c>
      <c r="D9" s="24">
        <v>-5550</v>
      </c>
      <c r="E9" s="24">
        <v>-8142</v>
      </c>
      <c r="F9" s="24">
        <v>-9908</v>
      </c>
      <c r="G9" s="24">
        <v>-15646</v>
      </c>
      <c r="H9" s="24">
        <v>-3678</v>
      </c>
      <c r="I9" s="24">
        <v>-2396</v>
      </c>
      <c r="J9" s="24">
        <v>-11409</v>
      </c>
      <c r="K9" s="35">
        <v>-16805</v>
      </c>
    </row>
    <row r="10" spans="1:11" ht="12.75" customHeight="1">
      <c r="A10" s="13" t="s">
        <v>71</v>
      </c>
      <c r="B10" s="24">
        <v>-4640</v>
      </c>
      <c r="C10" s="24">
        <v>-6003</v>
      </c>
      <c r="D10" s="24">
        <v>-1389</v>
      </c>
      <c r="E10" s="24">
        <v>-171</v>
      </c>
      <c r="F10" s="24">
        <v>-1030</v>
      </c>
      <c r="G10" s="24">
        <v>-413</v>
      </c>
      <c r="H10" s="24">
        <v>-573</v>
      </c>
      <c r="I10" s="24">
        <v>-50</v>
      </c>
      <c r="J10" s="24">
        <v>-261</v>
      </c>
      <c r="K10" s="35">
        <v>-503</v>
      </c>
    </row>
    <row r="11" spans="1:11" ht="12.75" customHeight="1">
      <c r="A11" s="13" t="s">
        <v>72</v>
      </c>
      <c r="B11" s="24">
        <v>-2212</v>
      </c>
      <c r="C11" s="24"/>
      <c r="D11" s="24"/>
      <c r="E11" s="24">
        <v>-142</v>
      </c>
      <c r="F11" s="24"/>
      <c r="G11" s="24"/>
      <c r="H11" s="24">
        <v>-2174</v>
      </c>
      <c r="I11" s="24"/>
      <c r="J11" s="24">
        <v>-1296</v>
      </c>
      <c r="K11" s="35"/>
    </row>
    <row r="12" spans="1:11" ht="12.75" customHeight="1">
      <c r="A12" s="13" t="s">
        <v>73</v>
      </c>
      <c r="B12" s="24">
        <v>-19563</v>
      </c>
      <c r="C12" s="24">
        <v>-1187</v>
      </c>
      <c r="D12" s="24"/>
      <c r="E12" s="24">
        <v>-1794</v>
      </c>
      <c r="F12" s="24">
        <v>-1827</v>
      </c>
      <c r="G12" s="24">
        <v>-4949</v>
      </c>
      <c r="H12" s="24">
        <v>-4210</v>
      </c>
      <c r="I12" s="24">
        <v>-20</v>
      </c>
      <c r="J12" s="24">
        <v>-751</v>
      </c>
      <c r="K12" s="35">
        <v>-5004</v>
      </c>
    </row>
    <row r="13" spans="1:11" ht="12.7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74</v>
      </c>
      <c r="B14" s="4">
        <f aca="true" t="shared" si="0" ref="B14:K14">SUM(B4:B13)</f>
        <v>127499</v>
      </c>
      <c r="C14" s="74">
        <f t="shared" si="0"/>
        <v>-41327</v>
      </c>
      <c r="D14" s="74">
        <f t="shared" si="0"/>
        <v>-7939</v>
      </c>
      <c r="E14" s="74">
        <f t="shared" si="0"/>
        <v>-19714</v>
      </c>
      <c r="F14" s="26">
        <f t="shared" si="0"/>
        <v>384</v>
      </c>
      <c r="G14" s="26">
        <f t="shared" si="0"/>
        <v>-477</v>
      </c>
      <c r="H14" s="4">
        <f t="shared" si="0"/>
        <v>14633</v>
      </c>
      <c r="I14" s="4">
        <f t="shared" si="0"/>
        <v>1283</v>
      </c>
      <c r="J14" s="4">
        <f t="shared" si="0"/>
        <v>1150</v>
      </c>
      <c r="K14" s="26">
        <f t="shared" si="0"/>
        <v>4016</v>
      </c>
    </row>
    <row r="15" spans="1:1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77</v>
      </c>
      <c r="B18" s="3"/>
      <c r="C18" s="3"/>
      <c r="D18" s="3"/>
      <c r="E18" s="3"/>
      <c r="F18" s="3"/>
      <c r="G18" s="3"/>
      <c r="H18" s="3"/>
      <c r="I18" s="3"/>
      <c r="J18" s="3">
        <v>28</v>
      </c>
      <c r="K18" s="14">
        <v>146</v>
      </c>
    </row>
    <row r="19" spans="1:11" ht="12.75" customHeight="1">
      <c r="A19" s="13" t="s">
        <v>78</v>
      </c>
      <c r="B19" s="3"/>
      <c r="C19" s="3">
        <v>3972</v>
      </c>
      <c r="D19" s="3"/>
      <c r="E19" s="3"/>
      <c r="F19" s="3"/>
      <c r="G19" s="3"/>
      <c r="H19" s="3"/>
      <c r="I19" s="3"/>
      <c r="J19" s="3"/>
      <c r="K19" s="14"/>
    </row>
    <row r="20" spans="1:11" ht="12.75" customHeight="1">
      <c r="A20" s="13" t="s">
        <v>79</v>
      </c>
      <c r="B20" s="3">
        <v>6181</v>
      </c>
      <c r="C20" s="3">
        <v>4757</v>
      </c>
      <c r="D20" s="3">
        <v>5</v>
      </c>
      <c r="E20" s="3">
        <v>4</v>
      </c>
      <c r="F20" s="3">
        <v>192</v>
      </c>
      <c r="G20" s="3">
        <v>24</v>
      </c>
      <c r="H20" s="3">
        <v>8</v>
      </c>
      <c r="I20" s="3"/>
      <c r="J20" s="3"/>
      <c r="K20" s="14"/>
    </row>
    <row r="21" spans="1:11" ht="12.75" customHeight="1">
      <c r="A21" s="13" t="s">
        <v>80</v>
      </c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81</v>
      </c>
      <c r="B22" s="3"/>
      <c r="C22" s="3"/>
      <c r="D22" s="3"/>
      <c r="E22" s="3"/>
      <c r="F22" s="3"/>
      <c r="G22" s="3"/>
      <c r="H22" s="3"/>
      <c r="I22" s="3"/>
      <c r="J22" s="3"/>
      <c r="K22" s="14"/>
    </row>
    <row r="23" spans="1:11" ht="12.75" customHeight="1">
      <c r="A23" s="13" t="s">
        <v>82</v>
      </c>
      <c r="B23" s="24">
        <v>-3391</v>
      </c>
      <c r="C23" s="24">
        <v>-1471</v>
      </c>
      <c r="D23" s="24">
        <v>-595</v>
      </c>
      <c r="E23" s="24"/>
      <c r="F23" s="24"/>
      <c r="G23" s="24"/>
      <c r="H23" s="24"/>
      <c r="I23" s="24"/>
      <c r="J23" s="24">
        <v>-105</v>
      </c>
      <c r="K23" s="35">
        <v>-37</v>
      </c>
    </row>
    <row r="24" spans="1:11" ht="12.75" customHeight="1">
      <c r="A24" s="13" t="s">
        <v>83</v>
      </c>
      <c r="B24" s="24">
        <v>-70611</v>
      </c>
      <c r="C24" s="3"/>
      <c r="D24" s="3"/>
      <c r="E24" s="3"/>
      <c r="F24" s="3"/>
      <c r="G24" s="3"/>
      <c r="H24" s="3"/>
      <c r="I24" s="3"/>
      <c r="J24" s="3"/>
      <c r="K24" s="35">
        <v>893</v>
      </c>
    </row>
    <row r="25" spans="1:11" ht="12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84</v>
      </c>
      <c r="B26" s="74">
        <f aca="true" t="shared" si="1" ref="B26:I26">SUM(B16:B25)</f>
        <v>-67821</v>
      </c>
      <c r="C26" s="36">
        <f t="shared" si="1"/>
        <v>7258</v>
      </c>
      <c r="D26" s="26">
        <f t="shared" si="1"/>
        <v>-590</v>
      </c>
      <c r="E26" s="4">
        <f t="shared" si="1"/>
        <v>4</v>
      </c>
      <c r="F26" s="36">
        <f t="shared" si="1"/>
        <v>192</v>
      </c>
      <c r="G26" s="4">
        <f t="shared" si="1"/>
        <v>24</v>
      </c>
      <c r="H26" s="26">
        <f t="shared" si="1"/>
        <v>8</v>
      </c>
      <c r="I26" s="26">
        <f t="shared" si="1"/>
        <v>0</v>
      </c>
      <c r="J26" s="36">
        <f>SUM(J17:J25)</f>
        <v>-77</v>
      </c>
      <c r="K26" s="30">
        <f>SUM(K17:K24)</f>
        <v>1002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85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86</v>
      </c>
      <c r="B29" s="24">
        <v>-58335</v>
      </c>
      <c r="C29" s="24">
        <v>34511</v>
      </c>
      <c r="D29" s="24">
        <v>-8648</v>
      </c>
      <c r="E29" s="24">
        <v>18944</v>
      </c>
      <c r="F29" s="3"/>
      <c r="G29" s="24">
        <v>-4241</v>
      </c>
      <c r="H29" s="24">
        <v>-7114</v>
      </c>
      <c r="I29" s="24">
        <v>-874</v>
      </c>
      <c r="J29" s="24"/>
      <c r="K29" s="24">
        <v>-5891</v>
      </c>
    </row>
    <row r="30" spans="1:11" ht="12.75" customHeight="1">
      <c r="A30" s="13" t="s">
        <v>87</v>
      </c>
      <c r="B30" s="24">
        <v>-2932</v>
      </c>
      <c r="C30" s="24">
        <v>-4748</v>
      </c>
      <c r="D30" s="24"/>
      <c r="E30" s="24">
        <v>-435</v>
      </c>
      <c r="F30" s="3"/>
      <c r="G30" s="24">
        <v>-820</v>
      </c>
      <c r="H30" s="24">
        <v>-197</v>
      </c>
      <c r="I30" s="24"/>
      <c r="J30" s="24"/>
      <c r="K30" s="14"/>
    </row>
    <row r="31" spans="1:11" ht="12.75" customHeight="1">
      <c r="A31" s="13" t="s">
        <v>88</v>
      </c>
      <c r="B31" s="3" t="s">
        <v>103</v>
      </c>
      <c r="C31" s="3"/>
      <c r="D31" s="3"/>
      <c r="E31" s="3"/>
      <c r="F31" s="3"/>
      <c r="G31" s="24"/>
      <c r="H31" s="24"/>
      <c r="I31" s="24"/>
      <c r="J31" s="24">
        <v>-368</v>
      </c>
      <c r="K31" s="14"/>
    </row>
    <row r="32" spans="1:11" ht="12.75" customHeight="1">
      <c r="A32" s="17"/>
      <c r="B32" s="3"/>
      <c r="C32" s="3"/>
      <c r="D32" s="3"/>
      <c r="E32" s="3"/>
      <c r="F32" s="3"/>
      <c r="G32" s="3"/>
      <c r="H32" s="3"/>
      <c r="I32" s="3"/>
      <c r="J32" s="3"/>
      <c r="K32" s="14"/>
    </row>
    <row r="33" spans="1:11" ht="12.75" customHeight="1">
      <c r="A33" s="11" t="s">
        <v>89</v>
      </c>
      <c r="B33" s="26">
        <f aca="true" t="shared" si="2" ref="B33:G33">SUM(B29:B30)</f>
        <v>-61267</v>
      </c>
      <c r="C33" s="26">
        <f t="shared" si="2"/>
        <v>29763</v>
      </c>
      <c r="D33" s="26">
        <f t="shared" si="2"/>
        <v>-8648</v>
      </c>
      <c r="E33" s="26">
        <f t="shared" si="2"/>
        <v>18509</v>
      </c>
      <c r="F33" s="26">
        <f t="shared" si="2"/>
        <v>0</v>
      </c>
      <c r="G33" s="26">
        <f t="shared" si="2"/>
        <v>-5061</v>
      </c>
      <c r="H33" s="26">
        <f>SUM(H29:H31)</f>
        <v>-7311</v>
      </c>
      <c r="I33" s="26">
        <f>SUM(I29:I31)</f>
        <v>-874</v>
      </c>
      <c r="J33" s="26">
        <f>SUM(J29:J31)</f>
        <v>-368</v>
      </c>
      <c r="K33" s="26">
        <f>SUM(K29:K30)</f>
        <v>-5891</v>
      </c>
    </row>
    <row r="34" spans="1:11" ht="12.75" customHeight="1">
      <c r="A34" s="17"/>
      <c r="B34" s="3"/>
      <c r="C34" s="3"/>
      <c r="D34" s="3"/>
      <c r="E34" s="3"/>
      <c r="F34" s="3"/>
      <c r="G34" s="3"/>
      <c r="H34" s="3"/>
      <c r="I34" s="3"/>
      <c r="J34" s="3"/>
      <c r="K34" s="14"/>
    </row>
    <row r="35" spans="1:11" ht="12.75" customHeight="1">
      <c r="A35" s="11" t="s">
        <v>90</v>
      </c>
      <c r="B35" s="26">
        <f aca="true" t="shared" si="3" ref="B35:J35">SUM(B14+(B26+B33))</f>
        <v>-1589</v>
      </c>
      <c r="C35" s="26">
        <f t="shared" si="3"/>
        <v>-4306</v>
      </c>
      <c r="D35" s="26">
        <v>-17177</v>
      </c>
      <c r="E35" s="26">
        <f t="shared" si="3"/>
        <v>-1201</v>
      </c>
      <c r="F35" s="4">
        <f t="shared" si="3"/>
        <v>576</v>
      </c>
      <c r="G35" s="26">
        <f t="shared" si="3"/>
        <v>-5514</v>
      </c>
      <c r="H35" s="4">
        <f t="shared" si="3"/>
        <v>7330</v>
      </c>
      <c r="I35" s="4">
        <f t="shared" si="3"/>
        <v>409</v>
      </c>
      <c r="J35" s="4">
        <f t="shared" si="3"/>
        <v>705</v>
      </c>
      <c r="K35" s="26">
        <v>-873</v>
      </c>
    </row>
    <row r="36" spans="1:11" ht="12.75" customHeight="1">
      <c r="A36" s="11"/>
      <c r="B36" s="3"/>
      <c r="C36" s="3"/>
      <c r="D36" s="3"/>
      <c r="E36" s="3"/>
      <c r="F36" s="37"/>
      <c r="G36" s="3"/>
      <c r="H36" s="3"/>
      <c r="I36" s="3"/>
      <c r="J36" s="3"/>
      <c r="K36" s="14"/>
    </row>
    <row r="37" spans="1:11" ht="12.75" customHeight="1">
      <c r="A37" s="11" t="s">
        <v>91</v>
      </c>
      <c r="B37" s="4">
        <v>6966</v>
      </c>
      <c r="C37" s="4">
        <v>421925</v>
      </c>
      <c r="D37" s="4">
        <v>25426</v>
      </c>
      <c r="E37" s="4">
        <v>2064</v>
      </c>
      <c r="F37" s="4">
        <v>24161</v>
      </c>
      <c r="G37" s="4">
        <v>22966</v>
      </c>
      <c r="H37" s="4">
        <v>3434</v>
      </c>
      <c r="I37" s="4">
        <v>633</v>
      </c>
      <c r="J37" s="4">
        <v>74275</v>
      </c>
      <c r="K37" s="15">
        <v>15677</v>
      </c>
    </row>
    <row r="38" spans="1:11" ht="12.7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15"/>
    </row>
    <row r="39" spans="1:11" ht="12.75" customHeight="1">
      <c r="A39" s="1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5">
        <v>0</v>
      </c>
    </row>
    <row r="40" spans="1:11" ht="12.75" customHeight="1">
      <c r="A40" s="11"/>
      <c r="B40" s="4"/>
      <c r="C40" s="4"/>
      <c r="D40" s="4"/>
      <c r="E40" s="47"/>
      <c r="F40" s="47"/>
      <c r="G40" s="4"/>
      <c r="H40" s="4"/>
      <c r="I40" s="4"/>
      <c r="J40" s="4"/>
      <c r="K40" s="15"/>
    </row>
    <row r="41" spans="1:11" ht="12.75" customHeight="1" thickBot="1">
      <c r="A41" s="20" t="s">
        <v>92</v>
      </c>
      <c r="B41" s="21">
        <f>SUM(B35+B37+B39)</f>
        <v>5377</v>
      </c>
      <c r="C41" s="21">
        <f>SUM(C35+C37+C39)</f>
        <v>417619</v>
      </c>
      <c r="D41" s="21">
        <f aca="true" t="shared" si="4" ref="D41:K41">SUM(D35+D37+D39)</f>
        <v>8249</v>
      </c>
      <c r="E41" s="21">
        <f t="shared" si="4"/>
        <v>863</v>
      </c>
      <c r="F41" s="21">
        <f t="shared" si="4"/>
        <v>24737</v>
      </c>
      <c r="G41" s="21">
        <f t="shared" si="4"/>
        <v>17452</v>
      </c>
      <c r="H41" s="21">
        <f t="shared" si="4"/>
        <v>10764</v>
      </c>
      <c r="I41" s="21">
        <f t="shared" si="4"/>
        <v>1042</v>
      </c>
      <c r="J41" s="21">
        <f t="shared" si="4"/>
        <v>74980</v>
      </c>
      <c r="K41" s="21">
        <f t="shared" si="4"/>
        <v>14804</v>
      </c>
    </row>
    <row r="42" spans="1:9" ht="16.5" customHeight="1">
      <c r="A42" s="75" t="s">
        <v>114</v>
      </c>
      <c r="B42" s="75"/>
      <c r="C42" s="75"/>
      <c r="D42" s="75"/>
      <c r="E42" s="75"/>
      <c r="F42" s="75"/>
      <c r="G42" s="75"/>
      <c r="H42" s="75"/>
      <c r="I42" s="71"/>
    </row>
    <row r="43" spans="1:4" ht="15.75" thickBot="1">
      <c r="A43" s="1"/>
      <c r="B43" s="1"/>
      <c r="C43" s="40"/>
      <c r="D43" s="38" t="s">
        <v>13</v>
      </c>
    </row>
    <row r="44" spans="1:4" ht="21">
      <c r="A44" s="10"/>
      <c r="B44" s="63" t="s">
        <v>10</v>
      </c>
      <c r="C44" s="61" t="s">
        <v>11</v>
      </c>
      <c r="D44" s="62" t="s">
        <v>12</v>
      </c>
    </row>
    <row r="45" spans="1:4" ht="12.75" customHeight="1">
      <c r="A45" s="11" t="s">
        <v>65</v>
      </c>
      <c r="B45" s="33"/>
      <c r="C45" s="33"/>
      <c r="D45" s="34"/>
    </row>
    <row r="46" spans="1:4" ht="12.75" customHeight="1">
      <c r="A46" s="13" t="s">
        <v>66</v>
      </c>
      <c r="B46" s="24">
        <v>2426134</v>
      </c>
      <c r="C46" s="24">
        <v>419168</v>
      </c>
      <c r="D46" s="35">
        <v>383829</v>
      </c>
    </row>
    <row r="47" spans="1:4" ht="12.75" customHeight="1">
      <c r="A47" s="13" t="s">
        <v>67</v>
      </c>
      <c r="B47" s="24"/>
      <c r="C47" s="24"/>
      <c r="D47" s="35"/>
    </row>
    <row r="48" spans="1:4" ht="12.75" customHeight="1">
      <c r="A48" s="13" t="s">
        <v>68</v>
      </c>
      <c r="B48" s="24">
        <v>531</v>
      </c>
      <c r="C48" s="24"/>
      <c r="D48" s="35"/>
    </row>
    <row r="49" spans="1:4" ht="12.75" customHeight="1">
      <c r="A49" s="13" t="s">
        <v>69</v>
      </c>
      <c r="B49" s="24">
        <v>-1879890</v>
      </c>
      <c r="C49" s="24">
        <v>-375411</v>
      </c>
      <c r="D49" s="35">
        <v>-374052</v>
      </c>
    </row>
    <row r="50" spans="1:4" ht="12.75" customHeight="1">
      <c r="A50" s="13" t="s">
        <v>70</v>
      </c>
      <c r="B50" s="24">
        <v>-162566</v>
      </c>
      <c r="C50" s="24">
        <v>-32656</v>
      </c>
      <c r="D50" s="35">
        <v>-24660</v>
      </c>
    </row>
    <row r="51" spans="1:4" ht="12.75" customHeight="1">
      <c r="A51" s="13" t="s">
        <v>71</v>
      </c>
      <c r="B51" s="24"/>
      <c r="C51" s="24"/>
      <c r="D51" s="35">
        <v>-50</v>
      </c>
    </row>
    <row r="52" spans="1:4" ht="12.75" customHeight="1">
      <c r="A52" s="13" t="s">
        <v>72</v>
      </c>
      <c r="B52" s="24">
        <v>-4003</v>
      </c>
      <c r="C52" s="24">
        <v>-2886</v>
      </c>
      <c r="D52" s="35">
        <v>-11460</v>
      </c>
    </row>
    <row r="53" spans="1:4" ht="12.75" customHeight="1">
      <c r="A53" s="13" t="s">
        <v>73</v>
      </c>
      <c r="B53" s="24">
        <v>-297322</v>
      </c>
      <c r="C53" s="24">
        <v>-15596</v>
      </c>
      <c r="D53" s="35">
        <v>-705</v>
      </c>
    </row>
    <row r="54" spans="1:4" ht="12.75" customHeight="1">
      <c r="A54" s="17"/>
      <c r="B54" s="24"/>
      <c r="C54" s="24"/>
      <c r="D54" s="35"/>
    </row>
    <row r="55" spans="1:4" ht="12.75" customHeight="1">
      <c r="A55" s="11" t="s">
        <v>74</v>
      </c>
      <c r="B55" s="26">
        <f>SUM(B46:B53)</f>
        <v>82884</v>
      </c>
      <c r="C55" s="26">
        <f>SUM(C45:C54)</f>
        <v>-7381</v>
      </c>
      <c r="D55" s="30">
        <f>SUM(D45:D54)</f>
        <v>-27098</v>
      </c>
    </row>
    <row r="56" spans="1:4" ht="12.75" customHeight="1">
      <c r="A56" s="17"/>
      <c r="B56" s="24"/>
      <c r="C56" s="24"/>
      <c r="D56" s="35"/>
    </row>
    <row r="57" spans="1:4" ht="12.75" customHeight="1">
      <c r="A57" s="11" t="s">
        <v>75</v>
      </c>
      <c r="B57" s="24"/>
      <c r="C57" s="24"/>
      <c r="D57" s="35"/>
    </row>
    <row r="58" spans="1:4" ht="12.75" customHeight="1">
      <c r="A58" s="13" t="s">
        <v>76</v>
      </c>
      <c r="B58" s="24"/>
      <c r="C58" s="24"/>
      <c r="D58" s="35"/>
    </row>
    <row r="59" spans="1:4" ht="12.75" customHeight="1">
      <c r="A59" s="13" t="s">
        <v>77</v>
      </c>
      <c r="B59" s="24"/>
      <c r="C59" s="24"/>
      <c r="D59" s="35">
        <v>65</v>
      </c>
    </row>
    <row r="60" spans="1:4" ht="12.75" customHeight="1">
      <c r="A60" s="13" t="s">
        <v>78</v>
      </c>
      <c r="B60" s="24"/>
      <c r="C60" s="24"/>
      <c r="D60" s="35"/>
    </row>
    <row r="61" spans="1:4" ht="12.75" customHeight="1">
      <c r="A61" s="13" t="s">
        <v>79</v>
      </c>
      <c r="B61" s="24"/>
      <c r="C61" s="24"/>
      <c r="D61" s="35"/>
    </row>
    <row r="62" spans="1:4" ht="12.75" customHeight="1">
      <c r="A62" s="13" t="s">
        <v>80</v>
      </c>
      <c r="B62" s="24"/>
      <c r="C62" s="24"/>
      <c r="D62" s="35"/>
    </row>
    <row r="63" spans="1:4" ht="12.75" customHeight="1">
      <c r="A63" s="13" t="s">
        <v>81</v>
      </c>
      <c r="B63" s="24"/>
      <c r="C63" s="24"/>
      <c r="D63" s="35"/>
    </row>
    <row r="64" spans="1:4" ht="12.75" customHeight="1">
      <c r="A64" s="13" t="s">
        <v>82</v>
      </c>
      <c r="B64" s="24">
        <v>-3632</v>
      </c>
      <c r="C64" s="24"/>
      <c r="D64" s="35"/>
    </row>
    <row r="65" spans="1:4" ht="12.75" customHeight="1">
      <c r="A65" s="13" t="s">
        <v>83</v>
      </c>
      <c r="B65" s="24"/>
      <c r="C65" s="24"/>
      <c r="D65" s="35"/>
    </row>
    <row r="66" spans="1:4" ht="12.75" customHeight="1">
      <c r="A66" s="17"/>
      <c r="B66" s="24"/>
      <c r="C66" s="24"/>
      <c r="D66" s="35"/>
    </row>
    <row r="67" spans="1:4" ht="12.75" customHeight="1">
      <c r="A67" s="11" t="s">
        <v>84</v>
      </c>
      <c r="B67" s="26">
        <f>SUM(B57:B66)</f>
        <v>-3632</v>
      </c>
      <c r="C67" s="26">
        <f>SUM(C57:C66)</f>
        <v>0</v>
      </c>
      <c r="D67" s="30">
        <f>SUM(D57:D66)</f>
        <v>65</v>
      </c>
    </row>
    <row r="68" spans="1:4" ht="12.75" customHeight="1">
      <c r="A68" s="17"/>
      <c r="B68" s="24"/>
      <c r="C68" s="24"/>
      <c r="D68" s="35"/>
    </row>
    <row r="69" spans="1:4" ht="12.75" customHeight="1">
      <c r="A69" s="11" t="s">
        <v>85</v>
      </c>
      <c r="B69" s="24"/>
      <c r="C69" s="24"/>
      <c r="D69" s="35"/>
    </row>
    <row r="70" spans="1:7" ht="12.75" customHeight="1">
      <c r="A70" s="13" t="s">
        <v>86</v>
      </c>
      <c r="B70" s="24"/>
      <c r="C70" s="24"/>
      <c r="D70" s="35">
        <v>0</v>
      </c>
      <c r="G70" s="43"/>
    </row>
    <row r="71" spans="1:4" ht="12.75" customHeight="1">
      <c r="A71" s="13" t="s">
        <v>87</v>
      </c>
      <c r="B71" s="24"/>
      <c r="C71" s="24"/>
      <c r="D71" s="35"/>
    </row>
    <row r="72" spans="1:4" ht="12.75" customHeight="1">
      <c r="A72" s="13" t="s">
        <v>88</v>
      </c>
      <c r="B72" s="24"/>
      <c r="C72" s="24"/>
      <c r="D72" s="35">
        <v>-1090</v>
      </c>
    </row>
    <row r="73" spans="1:4" ht="12.75" customHeight="1">
      <c r="A73" s="17"/>
      <c r="B73" s="24"/>
      <c r="C73" s="24"/>
      <c r="D73" s="35"/>
    </row>
    <row r="74" spans="1:4" ht="12.75" customHeight="1">
      <c r="A74" s="11" t="s">
        <v>89</v>
      </c>
      <c r="B74" s="26">
        <f>SUM(B70:B71)</f>
        <v>0</v>
      </c>
      <c r="C74" s="26">
        <f>SUM(C70:C71)</f>
        <v>0</v>
      </c>
      <c r="D74" s="30">
        <f>SUM(D70:D73)</f>
        <v>-1090</v>
      </c>
    </row>
    <row r="75" spans="1:4" ht="12.75" customHeight="1">
      <c r="A75" s="17"/>
      <c r="B75" s="24"/>
      <c r="C75" s="24"/>
      <c r="D75" s="35"/>
    </row>
    <row r="76" spans="1:4" ht="12.75" customHeight="1">
      <c r="A76" s="11" t="s">
        <v>90</v>
      </c>
      <c r="B76" s="26">
        <f>SUM(B55+(B67+B74))</f>
        <v>79252</v>
      </c>
      <c r="C76" s="26">
        <f>SUM(C55+(C67+C74))</f>
        <v>-7381</v>
      </c>
      <c r="D76" s="26">
        <f>SUM(D55+(D67+D74))</f>
        <v>-28123</v>
      </c>
    </row>
    <row r="77" spans="1:4" ht="12.75" customHeight="1">
      <c r="A77" s="11"/>
      <c r="B77" s="24"/>
      <c r="C77" s="24"/>
      <c r="D77" s="35"/>
    </row>
    <row r="78" spans="1:4" ht="12.75" customHeight="1">
      <c r="A78" s="11" t="s">
        <v>91</v>
      </c>
      <c r="B78" s="26">
        <v>105652</v>
      </c>
      <c r="C78" s="26">
        <v>30165</v>
      </c>
      <c r="D78" s="30">
        <v>41852</v>
      </c>
    </row>
    <row r="79" spans="1:4" ht="12.75" customHeight="1">
      <c r="A79" s="11" t="s">
        <v>117</v>
      </c>
      <c r="B79" s="26">
        <v>-17624</v>
      </c>
      <c r="C79" s="26"/>
      <c r="D79" s="30">
        <v>271</v>
      </c>
    </row>
    <row r="80" spans="1:4" ht="12.75" customHeight="1">
      <c r="A80" s="17"/>
      <c r="B80" s="26"/>
      <c r="C80" s="26"/>
      <c r="D80" s="30"/>
    </row>
    <row r="81" spans="1:4" ht="12.75" customHeight="1" thickBot="1">
      <c r="A81" s="20" t="s">
        <v>92</v>
      </c>
      <c r="B81" s="27">
        <f>SUM(B76+B78+B79)</f>
        <v>167280</v>
      </c>
      <c r="C81" s="27">
        <f>SUM(C76+C78)</f>
        <v>22784</v>
      </c>
      <c r="D81" s="31">
        <f>SUM(D76,D78,D79)</f>
        <v>14000</v>
      </c>
    </row>
  </sheetData>
  <mergeCells count="2">
    <mergeCell ref="A1:K1"/>
    <mergeCell ref="A42:H42"/>
  </mergeCells>
  <printOptions/>
  <pageMargins left="0.66" right="0.4" top="0.44" bottom="0.54" header="0.2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0">
      <selection activeCell="A67" sqref="A67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4" width="10.00390625" style="39" customWidth="1"/>
    <col min="5" max="5" width="9.57421875" style="39" customWidth="1"/>
    <col min="6" max="6" width="9.7109375" style="39" customWidth="1"/>
    <col min="7" max="7" width="9.00390625" style="39" customWidth="1"/>
    <col min="8" max="8" width="8.421875" style="39" customWidth="1"/>
    <col min="9" max="9" width="8.57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75" t="s">
        <v>115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2"/>
    </row>
    <row r="3" spans="1:11" ht="16.5" customHeight="1" thickBot="1">
      <c r="A3" s="1"/>
      <c r="B3" s="1"/>
      <c r="C3" s="40"/>
      <c r="D3" s="2"/>
      <c r="E3" s="41"/>
      <c r="F3" s="41"/>
      <c r="G3" s="41"/>
      <c r="H3" s="41"/>
      <c r="I3" s="41"/>
      <c r="K3" s="44"/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108</v>
      </c>
      <c r="J4" s="61" t="s">
        <v>8</v>
      </c>
      <c r="K4" s="62" t="s">
        <v>9</v>
      </c>
    </row>
    <row r="5" spans="1:11" ht="12.75" customHeight="1">
      <c r="A5" s="11"/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11" t="s">
        <v>93</v>
      </c>
      <c r="B6" s="48">
        <f>20586*100/((3415684+3396943)/2)</f>
        <v>0.6043483666432934</v>
      </c>
      <c r="C6" s="48">
        <f>83229*100/((2043181+2069559)/2)</f>
        <v>4.047374742872148</v>
      </c>
      <c r="D6" s="48">
        <f>733*100/((198558+214637)/2)</f>
        <v>0.3547961616186062</v>
      </c>
      <c r="E6" s="48">
        <f>4321*100/((98662+86872)/2)</f>
        <v>4.657906367566053</v>
      </c>
      <c r="F6" s="48">
        <f>2472*100/((276933+248003)/2)</f>
        <v>0.9418290991663746</v>
      </c>
      <c r="G6" s="48"/>
      <c r="H6" s="48">
        <f>21952*100/((249331+233243)/2)</f>
        <v>9.097879288979515</v>
      </c>
      <c r="I6" s="48">
        <f>747*100/((21333+20976)/2)</f>
        <v>3.5311635822165495</v>
      </c>
      <c r="J6" s="48">
        <f>1922*100/((430936+406616)/2)</f>
        <v>0.45895657821842706</v>
      </c>
      <c r="K6" s="54"/>
    </row>
    <row r="7" spans="1:11" ht="12.75" customHeight="1">
      <c r="A7" s="11"/>
      <c r="B7" s="3"/>
      <c r="C7" s="48"/>
      <c r="D7" s="48"/>
      <c r="E7" s="48"/>
      <c r="F7" s="48"/>
      <c r="G7" s="48"/>
      <c r="H7" s="48"/>
      <c r="I7" s="48"/>
      <c r="J7" s="48"/>
      <c r="K7" s="54"/>
    </row>
    <row r="8" spans="1:11" ht="15" customHeight="1">
      <c r="A8" s="11" t="s">
        <v>94</v>
      </c>
      <c r="B8" s="48">
        <f>((33056-3305)*100)/((2471846+2438791)/2)</f>
        <v>1.2116961608035781</v>
      </c>
      <c r="C8" s="48">
        <f>(49443-4944)*100/((639005+589562)/2)</f>
        <v>7.244049368084932</v>
      </c>
      <c r="D8" s="48"/>
      <c r="E8" s="48">
        <f>(3192-319)*100/((16140+12948)/2)</f>
        <v>19.753850385038504</v>
      </c>
      <c r="F8" s="48"/>
      <c r="G8" s="48"/>
      <c r="H8" s="48">
        <f>(18898-1890)*100/((191904+173006)/2)</f>
        <v>9.321750568633362</v>
      </c>
      <c r="I8" s="48">
        <f>(309-31)*100/((3500+3190)/2)</f>
        <v>8.310911808669657</v>
      </c>
      <c r="J8" s="48">
        <f>(2462-246)*100/((213615+211626)/2)</f>
        <v>1.0422325222638458</v>
      </c>
      <c r="K8" s="54"/>
    </row>
    <row r="9" spans="1:11" ht="12.75" customHeight="1">
      <c r="A9" s="11"/>
      <c r="B9" s="48"/>
      <c r="C9" s="48"/>
      <c r="D9" s="48"/>
      <c r="E9" s="48"/>
      <c r="F9" s="48"/>
      <c r="G9" s="48"/>
      <c r="H9" s="48"/>
      <c r="I9" s="48"/>
      <c r="J9" s="48"/>
      <c r="K9" s="54"/>
    </row>
    <row r="10" spans="1:11" ht="15" customHeight="1">
      <c r="A10" s="11" t="s">
        <v>98</v>
      </c>
      <c r="B10" s="48">
        <f>20586*100/154860</f>
        <v>13.2932971716389</v>
      </c>
      <c r="C10" s="48">
        <f>83229*100/489330</f>
        <v>17.00876708969407</v>
      </c>
      <c r="D10" s="48">
        <f>733*100/39887</f>
        <v>1.837691478426555</v>
      </c>
      <c r="E10" s="48">
        <f>4321*100/50154</f>
        <v>8.615464369741197</v>
      </c>
      <c r="F10" s="48">
        <f>2472*100/71072</f>
        <v>3.4781629896443045</v>
      </c>
      <c r="G10" s="48"/>
      <c r="H10" s="48">
        <f>21952*100/76523</f>
        <v>28.68680004704468</v>
      </c>
      <c r="I10" s="48">
        <f>747*100/8841</f>
        <v>8.44927044451985</v>
      </c>
      <c r="J10" s="48">
        <f>1922*100/112827</f>
        <v>1.70349295824581</v>
      </c>
      <c r="K10" s="54"/>
    </row>
    <row r="11" spans="1:11" ht="12.75" customHeight="1">
      <c r="A11" s="11"/>
      <c r="B11" s="48"/>
      <c r="C11" s="48"/>
      <c r="D11" s="48"/>
      <c r="E11" s="48"/>
      <c r="F11" s="48"/>
      <c r="G11" s="48"/>
      <c r="H11" s="48"/>
      <c r="I11" s="48"/>
      <c r="J11" s="48"/>
      <c r="K11" s="54"/>
    </row>
    <row r="12" spans="1:11" ht="15" customHeight="1">
      <c r="A12" s="56" t="s">
        <v>101</v>
      </c>
      <c r="B12" s="48">
        <f>5377/(65147+282273)</f>
        <v>0.015476944332508203</v>
      </c>
      <c r="C12" s="48">
        <f>417619/(692965+1183)</f>
        <v>0.6016281830387756</v>
      </c>
      <c r="D12" s="48">
        <f>8249/(47156+1164)</f>
        <v>0.17071605960264902</v>
      </c>
      <c r="E12" s="48">
        <f>863/(79528+88)</f>
        <v>0.010839529742765273</v>
      </c>
      <c r="F12" s="48">
        <f>24737/(78678+1385)</f>
        <v>0.30896918676542223</v>
      </c>
      <c r="G12" s="48">
        <f>17156/(234327+142)</f>
        <v>0.07316958745079306</v>
      </c>
      <c r="H12" s="48">
        <f>10764/(27497+62)</f>
        <v>0.39058020973184804</v>
      </c>
      <c r="I12" s="48">
        <f>1042/(17833+0)</f>
        <v>0.05843099871025627</v>
      </c>
      <c r="J12" s="48">
        <f>74980/(199190+1725)</f>
        <v>0.3731926436552771</v>
      </c>
      <c r="K12" s="54">
        <f>14801/(106773+5093)</f>
        <v>0.1323100852806036</v>
      </c>
    </row>
    <row r="13" spans="1:11" ht="12.75" customHeight="1">
      <c r="A13" s="11"/>
      <c r="B13" s="49"/>
      <c r="C13" s="49"/>
      <c r="D13" s="49"/>
      <c r="E13" s="49"/>
      <c r="F13" s="49"/>
      <c r="G13" s="49"/>
      <c r="H13" s="49"/>
      <c r="I13" s="49"/>
      <c r="J13" s="49"/>
      <c r="K13" s="55"/>
    </row>
    <row r="14" spans="1:11" ht="15" customHeight="1">
      <c r="A14" s="56" t="s">
        <v>102</v>
      </c>
      <c r="B14" s="48">
        <f>(370260-3060)/(65147+282273)</f>
        <v>1.0569339704104541</v>
      </c>
      <c r="C14" s="48">
        <f>(1947324-661661)/(692965+1183)</f>
        <v>1.8521453638129044</v>
      </c>
      <c r="D14" s="48">
        <f>(115212-79279)/(47156+1164)</f>
        <v>0.743646523178808</v>
      </c>
      <c r="E14" s="48">
        <f>(97078-28998)/(79528+88)</f>
        <v>0.855104501607717</v>
      </c>
      <c r="F14" s="48">
        <f>(201749-64105)/(78678+1385)</f>
        <v>1.7191961330452268</v>
      </c>
      <c r="G14" s="48">
        <f>(365319-196925)/(234327+142)</f>
        <v>0.7181930233847544</v>
      </c>
      <c r="H14" s="48">
        <f>(244449-82382)/(27497+62)</f>
        <v>5.880728618600094</v>
      </c>
      <c r="I14" s="48">
        <f>(18898-10786)/(17833+0)</f>
        <v>0.45488700723378006</v>
      </c>
      <c r="J14" s="48">
        <f>(319036-76416)/(199190+1725)</f>
        <v>1.2075753428066596</v>
      </c>
      <c r="K14" s="54">
        <f>(118921-70935)/(106773+5093)</f>
        <v>0.4289596481504657</v>
      </c>
    </row>
    <row r="15" spans="1:11" ht="12.75" customHeight="1">
      <c r="A15" s="11"/>
      <c r="B15" s="48"/>
      <c r="C15" s="48"/>
      <c r="D15" s="48"/>
      <c r="E15" s="48"/>
      <c r="F15" s="48"/>
      <c r="G15" s="48"/>
      <c r="H15" s="48"/>
      <c r="I15" s="48"/>
      <c r="J15" s="48"/>
      <c r="K15" s="54"/>
    </row>
    <row r="16" spans="1:11" ht="15" customHeight="1">
      <c r="A16" s="57" t="s">
        <v>100</v>
      </c>
      <c r="B16" s="3">
        <f>370260-65147-37870</f>
        <v>267243</v>
      </c>
      <c r="C16" s="3">
        <f>1947324-692965-1183</f>
        <v>1253176</v>
      </c>
      <c r="D16" s="3">
        <f>115212-47156-1164</f>
        <v>66892</v>
      </c>
      <c r="E16" s="3">
        <f>97078-79528-88</f>
        <v>17462</v>
      </c>
      <c r="F16" s="3">
        <f>201749-78678-1385</f>
        <v>121686</v>
      </c>
      <c r="G16" s="3">
        <f>365319-234327-142</f>
        <v>130850</v>
      </c>
      <c r="H16" s="3">
        <f>244449-27497-62</f>
        <v>216890</v>
      </c>
      <c r="I16" s="3">
        <f>18898-17833</f>
        <v>1065</v>
      </c>
      <c r="J16" s="3">
        <f>319036-199190-1725</f>
        <v>118121</v>
      </c>
      <c r="K16" s="14">
        <f>118921-106773-5093</f>
        <v>7055</v>
      </c>
    </row>
    <row r="17" spans="1:11" ht="12.7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15" customHeight="1">
      <c r="A18" s="11" t="s">
        <v>99</v>
      </c>
      <c r="B18" s="48">
        <f>840821*100/3415684</f>
        <v>24.616475060339305</v>
      </c>
      <c r="C18" s="48">
        <f>710028*100/2043181</f>
        <v>34.75110624070995</v>
      </c>
      <c r="D18" s="48">
        <f>133769*100/198558</f>
        <v>67.37023942626335</v>
      </c>
      <c r="E18" s="48">
        <f>2906*100/98662</f>
        <v>2.9454095801828464</v>
      </c>
      <c r="F18" s="48">
        <f>196870*100/276933</f>
        <v>71.08939707438262</v>
      </c>
      <c r="G18" s="48">
        <f>78155*100/371271</f>
        <v>21.05066110738517</v>
      </c>
      <c r="H18" s="48">
        <f>29868*100/249331</f>
        <v>11.979256490368225</v>
      </c>
      <c r="I18" s="48"/>
      <c r="J18" s="48">
        <f>16406*100/430936</f>
        <v>3.8070618374886296</v>
      </c>
      <c r="K18" s="54">
        <f>77719*100/406355</f>
        <v>19.125887462932656</v>
      </c>
    </row>
    <row r="19" spans="1:11" ht="12.7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5" customHeight="1">
      <c r="A20" s="64" t="s">
        <v>106</v>
      </c>
      <c r="B20" s="69"/>
      <c r="C20" s="69">
        <v>73.53</v>
      </c>
      <c r="D20" s="69">
        <v>53.63</v>
      </c>
      <c r="E20" s="69">
        <v>47.86</v>
      </c>
      <c r="F20" s="69">
        <v>100</v>
      </c>
      <c r="G20" s="69">
        <v>100</v>
      </c>
      <c r="H20" s="69">
        <v>74.16</v>
      </c>
      <c r="I20" s="69">
        <v>100</v>
      </c>
      <c r="J20" s="69"/>
      <c r="K20" s="70">
        <v>100</v>
      </c>
    </row>
    <row r="21" spans="1:11" ht="12.75" customHeight="1">
      <c r="A21" s="64"/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ht="15" customHeight="1">
      <c r="A22" s="64" t="s">
        <v>107</v>
      </c>
      <c r="B22" s="65">
        <v>205</v>
      </c>
      <c r="C22" s="65">
        <v>167</v>
      </c>
      <c r="D22" s="65">
        <v>68</v>
      </c>
      <c r="E22" s="65">
        <v>117</v>
      </c>
      <c r="F22" s="65">
        <v>65</v>
      </c>
      <c r="G22" s="65">
        <v>103</v>
      </c>
      <c r="H22" s="65">
        <v>164</v>
      </c>
      <c r="I22" s="65">
        <v>60</v>
      </c>
      <c r="J22" s="65">
        <v>138</v>
      </c>
      <c r="K22" s="66">
        <v>34</v>
      </c>
    </row>
    <row r="23" spans="1:11" ht="12.75" customHeight="1" thickBot="1">
      <c r="A23" s="50"/>
      <c r="B23" s="51"/>
      <c r="C23" s="51"/>
      <c r="D23" s="51"/>
      <c r="E23" s="58"/>
      <c r="F23" s="51"/>
      <c r="G23" s="58"/>
      <c r="H23" s="58"/>
      <c r="I23" s="58"/>
      <c r="J23" s="58"/>
      <c r="K23" s="59"/>
    </row>
    <row r="24" spans="1:11" ht="12.75" customHeight="1">
      <c r="A24" s="52"/>
      <c r="B24" s="53"/>
      <c r="C24" s="53"/>
      <c r="D24" s="53"/>
      <c r="E24" s="8"/>
      <c r="F24" s="53"/>
      <c r="G24" s="8"/>
      <c r="H24" s="8"/>
      <c r="I24" s="8"/>
      <c r="J24" s="8"/>
      <c r="K24" s="8"/>
    </row>
    <row r="25" spans="1:11" ht="12.75" customHeight="1">
      <c r="A25" s="52"/>
      <c r="B25" s="53"/>
      <c r="C25" s="53"/>
      <c r="D25" s="53"/>
      <c r="E25" s="8"/>
      <c r="F25" s="53"/>
      <c r="G25" s="8"/>
      <c r="H25" s="8"/>
      <c r="I25" s="8"/>
      <c r="J25" s="8"/>
      <c r="K25" s="8"/>
    </row>
    <row r="26" spans="1:11" ht="12.75" customHeight="1">
      <c r="A26" s="52"/>
      <c r="B26" s="53"/>
      <c r="C26" s="53"/>
      <c r="D26" s="53"/>
      <c r="E26" s="8"/>
      <c r="F26" s="53"/>
      <c r="G26" s="8"/>
      <c r="H26" s="8"/>
      <c r="I26" s="8"/>
      <c r="J26" s="8"/>
      <c r="K26" s="8"/>
    </row>
    <row r="27" spans="1:11" ht="12.75" customHeight="1">
      <c r="A27" s="52"/>
      <c r="B27" s="53"/>
      <c r="C27" s="53"/>
      <c r="D27" s="53"/>
      <c r="E27" s="8"/>
      <c r="F27" s="53"/>
      <c r="G27" s="8"/>
      <c r="H27" s="8"/>
      <c r="I27" s="8"/>
      <c r="J27" s="8"/>
      <c r="K27" s="8"/>
    </row>
    <row r="28" spans="1:11" ht="12.75" customHeight="1">
      <c r="A28" s="52"/>
      <c r="B28" s="53"/>
      <c r="C28" s="53"/>
      <c r="D28" s="53"/>
      <c r="E28" s="8"/>
      <c r="F28" s="53"/>
      <c r="G28" s="8"/>
      <c r="H28" s="8"/>
      <c r="I28" s="8"/>
      <c r="J28" s="8"/>
      <c r="K28" s="8"/>
    </row>
    <row r="29" spans="1:11" ht="12.75" customHeight="1">
      <c r="A29" s="52"/>
      <c r="B29" s="53"/>
      <c r="C29" s="53"/>
      <c r="D29" s="53"/>
      <c r="E29" s="8"/>
      <c r="F29" s="53"/>
      <c r="G29" s="8"/>
      <c r="H29" s="8"/>
      <c r="I29" s="8"/>
      <c r="J29" s="8"/>
      <c r="K29" s="8"/>
    </row>
    <row r="30" spans="1:11" ht="12.75" customHeight="1">
      <c r="A30" s="52"/>
      <c r="B30" s="53"/>
      <c r="C30" s="53"/>
      <c r="D30" s="53"/>
      <c r="E30" s="8"/>
      <c r="F30" s="53"/>
      <c r="G30" s="8"/>
      <c r="H30" s="8"/>
      <c r="I30" s="8"/>
      <c r="J30" s="8"/>
      <c r="K30" s="8"/>
    </row>
    <row r="31" spans="1:11" ht="12.75" customHeight="1">
      <c r="A31" s="52"/>
      <c r="B31" s="53"/>
      <c r="C31" s="53"/>
      <c r="D31" s="53"/>
      <c r="E31" s="8"/>
      <c r="F31" s="53"/>
      <c r="G31" s="8"/>
      <c r="H31" s="8"/>
      <c r="I31" s="8"/>
      <c r="J31" s="8"/>
      <c r="K31" s="8"/>
    </row>
    <row r="32" spans="1:11" ht="12.75" customHeight="1">
      <c r="A32" s="52"/>
      <c r="B32" s="53"/>
      <c r="C32" s="53"/>
      <c r="D32" s="53"/>
      <c r="E32" s="8"/>
      <c r="F32" s="53"/>
      <c r="G32" s="8"/>
      <c r="H32" s="8"/>
      <c r="I32" s="8"/>
      <c r="J32" s="8"/>
      <c r="K32" s="8"/>
    </row>
    <row r="33" spans="1:11" ht="12.75" customHeight="1">
      <c r="A33" s="52"/>
      <c r="B33" s="53"/>
      <c r="C33" s="53"/>
      <c r="D33" s="53"/>
      <c r="E33" s="8"/>
      <c r="F33" s="53"/>
      <c r="G33" s="8"/>
      <c r="H33" s="8"/>
      <c r="I33" s="8"/>
      <c r="J33" s="8"/>
      <c r="K33" s="8"/>
    </row>
    <row r="34" spans="1:11" ht="12.75" customHeight="1">
      <c r="A34" s="52"/>
      <c r="B34" s="53"/>
      <c r="C34" s="53"/>
      <c r="D34" s="53"/>
      <c r="E34" s="8"/>
      <c r="F34" s="53"/>
      <c r="G34" s="8"/>
      <c r="H34" s="8"/>
      <c r="I34" s="8"/>
      <c r="J34" s="8"/>
      <c r="K34" s="8"/>
    </row>
    <row r="35" spans="1:11" ht="12.75" customHeight="1">
      <c r="A35" s="52"/>
      <c r="B35" s="53"/>
      <c r="C35" s="53"/>
      <c r="D35" s="53"/>
      <c r="E35" s="8"/>
      <c r="F35" s="53"/>
      <c r="G35" s="8"/>
      <c r="H35" s="8"/>
      <c r="I35" s="8"/>
      <c r="J35" s="8"/>
      <c r="K35" s="8"/>
    </row>
    <row r="36" spans="1:11" ht="12.75" customHeight="1">
      <c r="A36" s="52"/>
      <c r="B36" s="53"/>
      <c r="C36" s="53"/>
      <c r="D36" s="53"/>
      <c r="E36" s="8"/>
      <c r="F36" s="53"/>
      <c r="G36" s="8"/>
      <c r="H36" s="8"/>
      <c r="I36" s="8"/>
      <c r="J36" s="8"/>
      <c r="K36" s="8"/>
    </row>
    <row r="37" spans="1:11" ht="12.75" customHeight="1">
      <c r="A37" s="52"/>
      <c r="B37" s="53"/>
      <c r="C37" s="53"/>
      <c r="D37" s="53"/>
      <c r="E37" s="8"/>
      <c r="F37" s="53"/>
      <c r="G37" s="8"/>
      <c r="H37" s="8"/>
      <c r="I37" s="8"/>
      <c r="J37" s="8"/>
      <c r="K37" s="8"/>
    </row>
    <row r="38" spans="1:11" ht="12.75" customHeight="1">
      <c r="A38" s="52"/>
      <c r="B38" s="53"/>
      <c r="C38" s="8"/>
      <c r="D38" s="8"/>
      <c r="E38" s="8"/>
      <c r="F38" s="8"/>
      <c r="G38" s="8"/>
      <c r="H38" s="8"/>
      <c r="I38" s="8"/>
      <c r="J38" s="8"/>
      <c r="K38" s="8"/>
    </row>
    <row r="39" spans="1:9" ht="16.5" customHeight="1">
      <c r="A39" s="75" t="s">
        <v>116</v>
      </c>
      <c r="B39" s="75"/>
      <c r="C39" s="75"/>
      <c r="D39" s="75"/>
      <c r="E39" s="75"/>
      <c r="F39" s="75"/>
      <c r="G39" s="75"/>
      <c r="H39" s="75"/>
      <c r="I39" s="71"/>
    </row>
    <row r="40" spans="1:4" ht="15.75" thickBot="1">
      <c r="A40" s="1"/>
      <c r="B40" s="1"/>
      <c r="C40" s="40"/>
      <c r="D40" s="38"/>
    </row>
    <row r="41" spans="1:4" ht="21">
      <c r="A41" s="10"/>
      <c r="B41" s="63" t="s">
        <v>10</v>
      </c>
      <c r="C41" s="61" t="s">
        <v>11</v>
      </c>
      <c r="D41" s="62" t="s">
        <v>12</v>
      </c>
    </row>
    <row r="42" spans="1:4" ht="12.75" customHeight="1">
      <c r="A42" s="11"/>
      <c r="B42" s="33"/>
      <c r="C42" s="33"/>
      <c r="D42" s="34"/>
    </row>
    <row r="43" spans="1:4" ht="15" customHeight="1">
      <c r="A43" s="11" t="s">
        <v>93</v>
      </c>
      <c r="B43" s="48">
        <f>253249*100/((2029264+2301427)/2)</f>
        <v>11.695546969294277</v>
      </c>
      <c r="C43" s="48">
        <f>8035*100/((901052+862097)/2)</f>
        <v>0.911437433818696</v>
      </c>
      <c r="D43" s="54">
        <f>35386*100/((743188+820070)/2)</f>
        <v>4.5272117590314584</v>
      </c>
    </row>
    <row r="44" spans="1:4" ht="12.75" customHeight="1">
      <c r="A44" s="11"/>
      <c r="B44" s="48"/>
      <c r="C44" s="48"/>
      <c r="D44" s="54"/>
    </row>
    <row r="45" spans="1:4" ht="15" customHeight="1">
      <c r="A45" s="11" t="s">
        <v>94</v>
      </c>
      <c r="B45" s="48">
        <f>(359447-86267)*100/((424675+120985)/2)</f>
        <v>100.12828501264524</v>
      </c>
      <c r="C45" s="48">
        <f>(9848-886)*100/((152170+147555)/2)</f>
        <v>5.980148469430311</v>
      </c>
      <c r="D45" s="54">
        <f>(29670-5934)*100/((54626+30870)/2)</f>
        <v>55.52540469729578</v>
      </c>
    </row>
    <row r="46" spans="1:4" ht="12.75" customHeight="1">
      <c r="A46" s="11"/>
      <c r="B46" s="48"/>
      <c r="C46" s="48"/>
      <c r="D46" s="54"/>
    </row>
    <row r="47" spans="1:4" ht="15" customHeight="1">
      <c r="A47" s="11" t="s">
        <v>98</v>
      </c>
      <c r="B47" s="48">
        <f>253249*100/1734961</f>
        <v>14.596812262638757</v>
      </c>
      <c r="C47" s="48">
        <f>8035*100/369825</f>
        <v>2.172649225985263</v>
      </c>
      <c r="D47" s="54">
        <f>35386*100/237773</f>
        <v>14.882261652921063</v>
      </c>
    </row>
    <row r="48" spans="1:4" ht="12.75" customHeight="1">
      <c r="A48" s="11"/>
      <c r="B48" s="48"/>
      <c r="C48" s="48"/>
      <c r="D48" s="54"/>
    </row>
    <row r="49" spans="1:4" ht="15" customHeight="1">
      <c r="A49" s="56" t="s">
        <v>95</v>
      </c>
      <c r="B49" s="48">
        <f>167280/1604589</f>
        <v>0.10425099511463683</v>
      </c>
      <c r="C49" s="48">
        <f>22784/748882</f>
        <v>0.030424018737264347</v>
      </c>
      <c r="D49" s="54">
        <f>14000/687234</f>
        <v>0.0203715182892581</v>
      </c>
    </row>
    <row r="50" spans="1:4" ht="12.75" customHeight="1">
      <c r="A50" s="11"/>
      <c r="B50" s="49"/>
      <c r="C50" s="49"/>
      <c r="D50" s="55"/>
    </row>
    <row r="51" spans="1:4" ht="15" customHeight="1">
      <c r="A51" s="56" t="s">
        <v>96</v>
      </c>
      <c r="B51" s="48">
        <f>(1989896-350436)/1604589</f>
        <v>1.021732044779068</v>
      </c>
      <c r="C51" s="48">
        <f>(880123-249110)/748882</f>
        <v>0.8426067124059599</v>
      </c>
      <c r="D51" s="54">
        <f>(733834-137041)/687234</f>
        <v>0.8683985367429434</v>
      </c>
    </row>
    <row r="52" spans="1:4" ht="12.75" customHeight="1">
      <c r="A52" s="11"/>
      <c r="B52" s="48"/>
      <c r="C52" s="48"/>
      <c r="D52" s="54"/>
    </row>
    <row r="53" spans="1:4" ht="15" customHeight="1">
      <c r="A53" s="57" t="s">
        <v>97</v>
      </c>
      <c r="B53" s="24">
        <f>1989896-1604589</f>
        <v>385307</v>
      </c>
      <c r="C53" s="24">
        <f>880123-748882</f>
        <v>131241</v>
      </c>
      <c r="D53" s="14">
        <f>733834-687234</f>
        <v>46600</v>
      </c>
    </row>
    <row r="54" spans="1:4" ht="12.75" customHeight="1">
      <c r="A54" s="64"/>
      <c r="B54" s="68"/>
      <c r="C54" s="68"/>
      <c r="D54" s="66"/>
    </row>
    <row r="55" spans="1:4" ht="15" customHeight="1">
      <c r="A55" s="11" t="s">
        <v>99</v>
      </c>
      <c r="B55" s="48"/>
      <c r="C55" s="48"/>
      <c r="D55" s="54">
        <f>1328*100/743188</f>
        <v>0.17868964515035227</v>
      </c>
    </row>
    <row r="56" spans="1:4" ht="12.75" customHeight="1">
      <c r="A56" s="64"/>
      <c r="B56" s="68"/>
      <c r="C56" s="68"/>
      <c r="D56" s="66"/>
    </row>
    <row r="57" spans="1:4" ht="15" customHeight="1">
      <c r="A57" s="64" t="s">
        <v>106</v>
      </c>
      <c r="B57" s="68"/>
      <c r="C57" s="68"/>
      <c r="D57" s="66"/>
    </row>
    <row r="58" spans="1:4" ht="12.75" customHeight="1">
      <c r="A58" s="64"/>
      <c r="B58" s="68"/>
      <c r="C58" s="68"/>
      <c r="D58" s="66"/>
    </row>
    <row r="59" spans="1:4" ht="15" customHeight="1">
      <c r="A59" s="64" t="s">
        <v>105</v>
      </c>
      <c r="B59" s="68">
        <v>68</v>
      </c>
      <c r="C59" s="68">
        <v>149</v>
      </c>
      <c r="D59" s="66">
        <v>239</v>
      </c>
    </row>
    <row r="60" spans="1:4" ht="12.75" customHeight="1" thickBot="1">
      <c r="A60" s="20"/>
      <c r="B60" s="67"/>
      <c r="C60" s="67"/>
      <c r="D60" s="59"/>
    </row>
    <row r="65" ht="12.75">
      <c r="A65" s="39" t="s">
        <v>118</v>
      </c>
    </row>
    <row r="67" ht="12.75">
      <c r="A67" s="39" t="s">
        <v>119</v>
      </c>
    </row>
  </sheetData>
  <mergeCells count="3">
    <mergeCell ref="A1:K1"/>
    <mergeCell ref="A2:H2"/>
    <mergeCell ref="A39:H39"/>
  </mergeCells>
  <printOptions/>
  <pageMargins left="0.66" right="0.4" top="0.82" bottom="0.64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pravna</cp:lastModifiedBy>
  <cp:lastPrinted>2010-04-26T12:23:31Z</cp:lastPrinted>
  <dcterms:created xsi:type="dcterms:W3CDTF">2009-02-24T07:04:59Z</dcterms:created>
  <dcterms:modified xsi:type="dcterms:W3CDTF">2010-04-27T08:06:52Z</dcterms:modified>
  <cp:category/>
  <cp:version/>
  <cp:contentType/>
  <cp:contentStatus/>
</cp:coreProperties>
</file>