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0" activeTab="0"/>
  </bookViews>
  <sheets>
    <sheet name="BU I-IX" sheetId="1" r:id="rId1"/>
    <sheet name="BS I-IX" sheetId="2" r:id="rId2"/>
    <sheet name="novcani tok" sheetId="3" r:id="rId3"/>
    <sheet name="Finansiski pokazatelji" sheetId="4" r:id="rId4"/>
  </sheets>
  <definedNames/>
  <calcPr fullCalcOnLoad="1"/>
</workbook>
</file>

<file path=xl/sharedStrings.xml><?xml version="1.0" encoding="utf-8"?>
<sst xmlns="http://schemas.openxmlformats.org/spreadsheetml/2006/main" count="304" uniqueCount="138">
  <si>
    <t>BILANS USPEHA METALAC-HOLDING ZA PERIOD JANUAR-SEPTEMBAR 2010.god (domaće)</t>
  </si>
  <si>
    <t>u 000 din</t>
  </si>
  <si>
    <t>METALAC a.d.</t>
  </si>
  <si>
    <t>POSUĐE</t>
  </si>
  <si>
    <t>INKO</t>
  </si>
  <si>
    <t>PRINT</t>
  </si>
  <si>
    <t>BOJLER</t>
  </si>
  <si>
    <t>MARKET</t>
  </si>
  <si>
    <t>TRADE</t>
  </si>
  <si>
    <t>METPOR</t>
  </si>
  <si>
    <t>METALURGIJA</t>
  </si>
  <si>
    <t>PROLETER</t>
  </si>
  <si>
    <t>POSLOVNI PRIHODI</t>
  </si>
  <si>
    <t>Prihod od prodaje</t>
  </si>
  <si>
    <t>Prihod od prodaje na domaćem tržištu</t>
  </si>
  <si>
    <t>Prihod od prodaje na ino. tržištu</t>
  </si>
  <si>
    <t>Prihod od aktiviranja učinaka i robe</t>
  </si>
  <si>
    <t>Povećanje vrednosti zaliha učinaka</t>
  </si>
  <si>
    <t>Smanjnje vrednosti zaliha učinaka</t>
  </si>
  <si>
    <t>Ostali poslovni prihodi</t>
  </si>
  <si>
    <t>POSLOVNI RASHODI</t>
  </si>
  <si>
    <t>Nabavna rvrednost prodate robe</t>
  </si>
  <si>
    <t>Troškovi materijala i energije</t>
  </si>
  <si>
    <t>Troškovi zarada i ostali lični rashodi</t>
  </si>
  <si>
    <t>Troškovi amortizacije</t>
  </si>
  <si>
    <t>Ostali poslovni rashodi</t>
  </si>
  <si>
    <t>POSLOVNI DOBITAK / GUBITAK</t>
  </si>
  <si>
    <t>FINANSIJSKI PRIHODI</t>
  </si>
  <si>
    <t>FINANSIJSKI RASHODI</t>
  </si>
  <si>
    <t>FINANSIJSKI DOBITAK / GUBITAK</t>
  </si>
  <si>
    <t>OSTALI PRIHODI</t>
  </si>
  <si>
    <t>OSTALI RASHODI</t>
  </si>
  <si>
    <t>OSTALI DOBITAK / GUBITAK</t>
  </si>
  <si>
    <t xml:space="preserve">DOBITAK / GUBITAK </t>
  </si>
  <si>
    <t>BILANS USPEHA METALAC-HOLDING ZA PERIOD JANUAR-SEPTEMBAR 2010.god (ino)</t>
  </si>
  <si>
    <t>u eur</t>
  </si>
  <si>
    <t>METROT</t>
  </si>
  <si>
    <t>MARKET-Podgorica</t>
  </si>
  <si>
    <t>PROMO-METAL</t>
  </si>
  <si>
    <t>BILANS STANJA METALAC-HOLDING ZA PERIOD JANUAR -SEPTEMBAR 2010.god (domaće)</t>
  </si>
  <si>
    <t>AKTIVA</t>
  </si>
  <si>
    <t>Stalna imovina</t>
  </si>
  <si>
    <t>Nematerijlna ulaganja,nekretnine i oprema</t>
  </si>
  <si>
    <t xml:space="preserve">Učešće u kapitalu                  </t>
  </si>
  <si>
    <t>Dugoročni zajmovi ZD</t>
  </si>
  <si>
    <t>Obrtna imovina</t>
  </si>
  <si>
    <t>Zalihe</t>
  </si>
  <si>
    <t>Potraživanja (kupci)</t>
  </si>
  <si>
    <t>Krat. fin.plasmani (potrošački zajmovi)</t>
  </si>
  <si>
    <t>Kratkoročni zajmovi ZD</t>
  </si>
  <si>
    <t>Ostala potraživanja</t>
  </si>
  <si>
    <t>Gotovina i gotovinski ekvivalent</t>
  </si>
  <si>
    <t>Gubitak iznad visine kapitala</t>
  </si>
  <si>
    <t>PASIVA</t>
  </si>
  <si>
    <t>Kapital</t>
  </si>
  <si>
    <t>Osnovni kapital</t>
  </si>
  <si>
    <t>Ostali kapital</t>
  </si>
  <si>
    <t>Neraspoređena dobit</t>
  </si>
  <si>
    <t>Rezerve</t>
  </si>
  <si>
    <t>Gubitak</t>
  </si>
  <si>
    <t>Dugoročne obaveze</t>
  </si>
  <si>
    <t>Dugoročna rezervisanja</t>
  </si>
  <si>
    <t>Dugoročni krediti</t>
  </si>
  <si>
    <t>Ostale dugoročne obaveze (zajmovi)</t>
  </si>
  <si>
    <t>Kratkoročne obaveze</t>
  </si>
  <si>
    <t>Kratkoročni kreidti</t>
  </si>
  <si>
    <t>Obaveze iz poslovanja (dobavljači)</t>
  </si>
  <si>
    <t>Ostale obaveze</t>
  </si>
  <si>
    <t>Odložne poreske obaveze</t>
  </si>
  <si>
    <t>BILANS STANJA METALAC-HOLDING ZA PERIOD JANUAR -SEPTEMBAR 2010.god (ino)</t>
  </si>
  <si>
    <t>IZVEŠTAJ O TOKOVIMA GOTOVINE METALAC HOLDING ZA PERIOD JANUAR-SEPTEMBAR 2010.god.(domaće)</t>
  </si>
  <si>
    <t>Tokovi gotovine iz poslovnih aktivnosti</t>
  </si>
  <si>
    <t>Prodaja i primljeni avansi</t>
  </si>
  <si>
    <t>Primljene kamate iz poslovnih aktivnosti</t>
  </si>
  <si>
    <t>Ostali prilivi iz redovnog poslovanja</t>
  </si>
  <si>
    <t>Isplate dobavljačima i dati avansi</t>
  </si>
  <si>
    <t>Zarade, naknade zarada i ostali lični rashodi</t>
  </si>
  <si>
    <t>Plaćene kamate</t>
  </si>
  <si>
    <t>Porez na dobitak</t>
  </si>
  <si>
    <t>Plaćanja po osnovu ostalih javnih prihoda</t>
  </si>
  <si>
    <t>Neto priliv/odliv iz poslovnih aktivnosti</t>
  </si>
  <si>
    <t>Tokovi gotovine iz aktivnosti investiranja</t>
  </si>
  <si>
    <t>Prodaja akcija i udela (neto priliv)</t>
  </si>
  <si>
    <t>Prodaja nekretnina, postrojenja i opreme</t>
  </si>
  <si>
    <t>Ostali finansijski plasmani (neto priliv)</t>
  </si>
  <si>
    <t>Primljene kamate</t>
  </si>
  <si>
    <t>Primljene dividende</t>
  </si>
  <si>
    <t>Kupovina akcija i udela (neto odliv)</t>
  </si>
  <si>
    <t>Kupovina nemater. ulaganja, nekretnina i opreme</t>
  </si>
  <si>
    <t>Ostali finansijski plasmnai (neto odliv)</t>
  </si>
  <si>
    <t>Neto priliv/odliv iz aktivnosti investiranja</t>
  </si>
  <si>
    <t>Tokovi gotovine iz aktivnosti finansiranja</t>
  </si>
  <si>
    <t>Uvećanje osnovnog kapitala</t>
  </si>
  <si>
    <t>Dugoročni i kratkoročni krediti (neto priliv/odliv)</t>
  </si>
  <si>
    <t>Isplaćena dividenda i učešća u dobitku</t>
  </si>
  <si>
    <t>Finansijski lizing</t>
  </si>
  <si>
    <t xml:space="preserve"> </t>
  </si>
  <si>
    <t>Neto odliv iz aktivnosti finansiranja</t>
  </si>
  <si>
    <t>Neto priliv/odliv gotovine</t>
  </si>
  <si>
    <t>Gotovina na početku obračunskog perioda</t>
  </si>
  <si>
    <t xml:space="preserve">Pozitivne kursne razlike </t>
  </si>
  <si>
    <t>Gotovina na kraju obračunskog perioda</t>
  </si>
  <si>
    <t>IZVEŠTAJ O TOKOVIMA GOTOVINE METALAC HOLDING ZA PERIOD JANUAR-SEPTEMBAR 2010.god.(ino)</t>
  </si>
  <si>
    <t>Pozitivne(negativne) kusne razlike</t>
  </si>
  <si>
    <t>FINANSIJSKI POKAZATELJI METALAC HOLDINGA (proizvodna)</t>
  </si>
  <si>
    <t>Pokazatelji likvidnosti</t>
  </si>
  <si>
    <t>Koeficijent tekuće (opšte) likvidnosti</t>
  </si>
  <si>
    <t>Koeficijent ubrzane likvidnosti</t>
  </si>
  <si>
    <t>Koeficijent trenutne likvidnosti</t>
  </si>
  <si>
    <t>Pokazatelji poslovne aktivnosti</t>
  </si>
  <si>
    <t>Koeficijent obrta zaliha materijala</t>
  </si>
  <si>
    <t>Dani vezivanja zaliha materijala</t>
  </si>
  <si>
    <t>Koeficijent obrta zaliha robe</t>
  </si>
  <si>
    <t>Dani vezivanja zaliha robe</t>
  </si>
  <si>
    <t>Koeficijent obrta potraživanja</t>
  </si>
  <si>
    <t>Prosečno vreme naplate potraživanja</t>
  </si>
  <si>
    <t>Koeficijent obrta obaveza</t>
  </si>
  <si>
    <t>Prosečno vreme plaćanja obaveza</t>
  </si>
  <si>
    <t>Pokazatelji profitabilnosti</t>
  </si>
  <si>
    <t>Stopa marže bruto profita (%)</t>
  </si>
  <si>
    <t>Rentabilitet imovine (ROA) (%)</t>
  </si>
  <si>
    <t>Rentabilitet sopstvenog kapitala (ROE) (%)</t>
  </si>
  <si>
    <t>Pokazatelji fin. strukture (zaduženosti)</t>
  </si>
  <si>
    <t>Koeficijent samofinansiranja</t>
  </si>
  <si>
    <t>Koeficijent zaduženosti</t>
  </si>
  <si>
    <t>Koeficijent finansijskiih sposobnosti</t>
  </si>
  <si>
    <t>Kreditna sposobnost</t>
  </si>
  <si>
    <t>Faktor zaduženosti (godine)</t>
  </si>
  <si>
    <t>Pokriće troškova kamate</t>
  </si>
  <si>
    <t>Odnos duga i sopstvenog kapitala</t>
  </si>
  <si>
    <t>FINANSIJSKI POKAZATELJI METALAC HOLDINGA (domaća trgovačka)</t>
  </si>
  <si>
    <t>Pokazatelji fin.strukture (zaduženosti)</t>
  </si>
  <si>
    <t>FINANSIJSKI POKAZATELJI METALAC HOLDINGA (ino trgovačka)</t>
  </si>
  <si>
    <t>METROT-Moskva</t>
  </si>
  <si>
    <t xml:space="preserve">METALAC-MARKET-Podgorica </t>
  </si>
  <si>
    <t>PROMO-METAL-Zagreb</t>
  </si>
  <si>
    <t xml:space="preserve">        GENERALNI DIREKTOR</t>
  </si>
  <si>
    <t xml:space="preserve">   Petrašin Jakovljević, dipl. ing.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</si>
</sst>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#,##0;[BLACK]\(#,##0\)"/>
    <numFmt numFmtId="167" formatCode="D/M/YY;@"/>
    <numFmt numFmtId="168" formatCode="#,##0.00"/>
    <numFmt numFmtId="169" formatCode="#,##0.0"/>
  </numFmts>
  <fonts count="14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0"/>
      <color indexed="57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justify"/>
    </xf>
    <xf numFmtId="164" fontId="1" fillId="0" borderId="0" xfId="0" applyFont="1" applyAlignment="1">
      <alignment horizontal="justify"/>
    </xf>
    <xf numFmtId="164" fontId="2" fillId="0" borderId="0" xfId="0" applyFont="1" applyBorder="1" applyAlignment="1">
      <alignment horizontal="justify"/>
    </xf>
    <xf numFmtId="164" fontId="2" fillId="0" borderId="0" xfId="0" applyFont="1" applyAlignment="1">
      <alignment horizontal="justify"/>
    </xf>
    <xf numFmtId="164" fontId="3" fillId="0" borderId="0" xfId="0" applyFont="1" applyAlignment="1">
      <alignment vertical="top" wrapText="1"/>
    </xf>
    <xf numFmtId="164" fontId="4" fillId="0" borderId="0" xfId="0" applyFont="1" applyBorder="1" applyAlignment="1">
      <alignment horizontal="right" vertical="top" wrapText="1"/>
    </xf>
    <xf numFmtId="164" fontId="5" fillId="0" borderId="1" xfId="0" applyFont="1" applyBorder="1" applyAlignment="1">
      <alignment vertical="top" wrapText="1"/>
    </xf>
    <xf numFmtId="164" fontId="3" fillId="0" borderId="0" xfId="0" applyFont="1" applyAlignment="1">
      <alignment/>
    </xf>
    <xf numFmtId="164" fontId="6" fillId="0" borderId="0" xfId="0" applyFont="1" applyAlignment="1">
      <alignment horizontal="right"/>
    </xf>
    <xf numFmtId="164" fontId="3" fillId="0" borderId="2" xfId="0" applyFont="1" applyBorder="1" applyAlignment="1">
      <alignment vertical="top" wrapText="1"/>
    </xf>
    <xf numFmtId="164" fontId="7" fillId="0" borderId="3" xfId="0" applyFont="1" applyBorder="1" applyAlignment="1">
      <alignment horizontal="left" vertical="center"/>
    </xf>
    <xf numFmtId="164" fontId="7" fillId="0" borderId="3" xfId="0" applyFont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 wrapText="1"/>
    </xf>
    <xf numFmtId="164" fontId="5" fillId="0" borderId="5" xfId="0" applyFont="1" applyBorder="1" applyAlignment="1">
      <alignment vertical="top" wrapText="1"/>
    </xf>
    <xf numFmtId="165" fontId="5" fillId="0" borderId="6" xfId="0" applyNumberFormat="1" applyFont="1" applyBorder="1" applyAlignment="1">
      <alignment vertical="top" wrapText="1"/>
    </xf>
    <xf numFmtId="165" fontId="5" fillId="0" borderId="7" xfId="0" applyNumberFormat="1" applyFont="1" applyBorder="1" applyAlignment="1">
      <alignment vertical="top" wrapText="1"/>
    </xf>
    <xf numFmtId="164" fontId="1" fillId="0" borderId="5" xfId="0" applyFont="1" applyBorder="1" applyAlignment="1">
      <alignment vertical="top" wrapText="1"/>
    </xf>
    <xf numFmtId="165" fontId="1" fillId="0" borderId="6" xfId="0" applyNumberFormat="1" applyFont="1" applyBorder="1" applyAlignment="1">
      <alignment horizontal="right" vertical="center" wrapText="1"/>
    </xf>
    <xf numFmtId="165" fontId="1" fillId="0" borderId="7" xfId="0" applyNumberFormat="1" applyFont="1" applyBorder="1" applyAlignment="1">
      <alignment horizontal="right" vertical="center" wrapText="1"/>
    </xf>
    <xf numFmtId="165" fontId="5" fillId="0" borderId="6" xfId="0" applyNumberFormat="1" applyFont="1" applyBorder="1" applyAlignment="1">
      <alignment horizontal="right" vertical="center" wrapText="1"/>
    </xf>
    <xf numFmtId="165" fontId="5" fillId="0" borderId="7" xfId="0" applyNumberFormat="1" applyFont="1" applyBorder="1" applyAlignment="1">
      <alignment horizontal="right" vertical="center" wrapText="1"/>
    </xf>
    <xf numFmtId="166" fontId="1" fillId="0" borderId="6" xfId="0" applyNumberFormat="1" applyFont="1" applyBorder="1" applyAlignment="1">
      <alignment horizontal="right" vertical="center" wrapText="1"/>
    </xf>
    <xf numFmtId="166" fontId="5" fillId="0" borderId="6" xfId="0" applyNumberFormat="1" applyFont="1" applyBorder="1" applyAlignment="1">
      <alignment horizontal="right" vertical="center" wrapText="1"/>
    </xf>
    <xf numFmtId="166" fontId="5" fillId="0" borderId="7" xfId="0" applyNumberFormat="1" applyFont="1" applyBorder="1" applyAlignment="1">
      <alignment horizontal="right" vertical="center" wrapText="1"/>
    </xf>
    <xf numFmtId="164" fontId="1" fillId="0" borderId="5" xfId="0" applyFont="1" applyBorder="1" applyAlignment="1">
      <alignment horizontal="left" vertical="top" wrapText="1"/>
    </xf>
    <xf numFmtId="164" fontId="5" fillId="0" borderId="8" xfId="0" applyFont="1" applyBorder="1" applyAlignment="1">
      <alignment horizontal="left" vertical="top" wrapText="1"/>
    </xf>
    <xf numFmtId="164" fontId="1" fillId="0" borderId="9" xfId="0" applyFont="1" applyBorder="1" applyAlignment="1">
      <alignment horizontal="right" vertical="top" wrapText="1"/>
    </xf>
    <xf numFmtId="164" fontId="5" fillId="0" borderId="10" xfId="0" applyFont="1" applyBorder="1" applyAlignment="1">
      <alignment vertical="top" wrapText="1"/>
    </xf>
    <xf numFmtId="165" fontId="5" fillId="0" borderId="11" xfId="0" applyNumberFormat="1" applyFont="1" applyBorder="1" applyAlignment="1">
      <alignment horizontal="right" vertical="center" wrapText="1"/>
    </xf>
    <xf numFmtId="166" fontId="5" fillId="0" borderId="11" xfId="0" applyNumberFormat="1" applyFont="1" applyBorder="1" applyAlignment="1">
      <alignment horizontal="right" vertical="center" wrapText="1"/>
    </xf>
    <xf numFmtId="166" fontId="5" fillId="0" borderId="12" xfId="0" applyNumberFormat="1" applyFont="1" applyBorder="1" applyAlignment="1">
      <alignment horizontal="right" vertical="center" wrapText="1"/>
    </xf>
    <xf numFmtId="164" fontId="1" fillId="0" borderId="0" xfId="0" applyFont="1" applyAlignment="1">
      <alignment horizontal="right" wrapText="1"/>
    </xf>
    <xf numFmtId="164" fontId="3" fillId="0" borderId="0" xfId="0" applyFont="1" applyAlignment="1">
      <alignment horizontal="right" vertical="top" wrapText="1"/>
    </xf>
    <xf numFmtId="164" fontId="7" fillId="0" borderId="3" xfId="0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vertical="top" wrapText="1"/>
    </xf>
    <xf numFmtId="165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 horizontal="right" vertical="center" wrapText="1"/>
    </xf>
    <xf numFmtId="165" fontId="5" fillId="0" borderId="0" xfId="0" applyNumberFormat="1" applyFont="1" applyBorder="1" applyAlignment="1">
      <alignment horizontal="right" vertical="center" wrapText="1"/>
    </xf>
    <xf numFmtId="165" fontId="5" fillId="0" borderId="13" xfId="0" applyNumberFormat="1" applyFont="1" applyBorder="1" applyAlignment="1">
      <alignment horizontal="right" vertical="center" wrapText="1"/>
    </xf>
    <xf numFmtId="165" fontId="5" fillId="0" borderId="14" xfId="0" applyNumberFormat="1" applyFont="1" applyBorder="1" applyAlignment="1">
      <alignment horizontal="right" vertical="center" wrapText="1"/>
    </xf>
    <xf numFmtId="164" fontId="1" fillId="0" borderId="6" xfId="0" applyFont="1" applyBorder="1" applyAlignment="1">
      <alignment/>
    </xf>
    <xf numFmtId="164" fontId="1" fillId="0" borderId="7" xfId="0" applyFont="1" applyBorder="1" applyAlignment="1">
      <alignment/>
    </xf>
    <xf numFmtId="164" fontId="1" fillId="0" borderId="0" xfId="0" applyFont="1" applyAlignment="1">
      <alignment horizontal="right"/>
    </xf>
    <xf numFmtId="165" fontId="1" fillId="0" borderId="6" xfId="0" applyNumberFormat="1" applyFont="1" applyBorder="1" applyAlignment="1">
      <alignment vertical="center" wrapText="1"/>
    </xf>
    <xf numFmtId="164" fontId="1" fillId="0" borderId="9" xfId="0" applyFont="1" applyBorder="1" applyAlignment="1">
      <alignment horizontal="left" vertical="top" wrapText="1"/>
    </xf>
    <xf numFmtId="166" fontId="1" fillId="0" borderId="7" xfId="0" applyNumberFormat="1" applyFont="1" applyBorder="1" applyAlignment="1">
      <alignment horizontal="right" vertical="center" wrapText="1"/>
    </xf>
    <xf numFmtId="164" fontId="1" fillId="0" borderId="8" xfId="0" applyFont="1" applyBorder="1" applyAlignment="1">
      <alignment horizontal="left" vertical="top" wrapText="1"/>
    </xf>
    <xf numFmtId="165" fontId="5" fillId="0" borderId="12" xfId="0" applyNumberFormat="1" applyFont="1" applyBorder="1" applyAlignment="1">
      <alignment horizontal="right" vertical="center" wrapText="1"/>
    </xf>
    <xf numFmtId="164" fontId="5" fillId="0" borderId="6" xfId="0" applyFont="1" applyBorder="1" applyAlignment="1">
      <alignment vertical="top" wrapText="1"/>
    </xf>
    <xf numFmtId="164" fontId="5" fillId="0" borderId="7" xfId="0" applyFont="1" applyBorder="1" applyAlignment="1">
      <alignment vertical="top" wrapText="1"/>
    </xf>
    <xf numFmtId="166" fontId="5" fillId="0" borderId="6" xfId="0" applyNumberFormat="1" applyFont="1" applyBorder="1" applyAlignment="1">
      <alignment horizontal="right" vertical="center" wrapText="1"/>
    </xf>
    <xf numFmtId="166" fontId="5" fillId="0" borderId="15" xfId="0" applyNumberFormat="1" applyFont="1" applyBorder="1" applyAlignment="1">
      <alignment horizontal="right" vertical="center" wrapText="1"/>
    </xf>
    <xf numFmtId="165" fontId="8" fillId="0" borderId="6" xfId="0" applyNumberFormat="1" applyFont="1" applyBorder="1" applyAlignment="1">
      <alignment horizontal="right" vertical="center" wrapText="1"/>
    </xf>
    <xf numFmtId="165" fontId="5" fillId="0" borderId="6" xfId="0" applyNumberFormat="1" applyFont="1" applyBorder="1" applyAlignment="1">
      <alignment horizontal="right" vertical="center"/>
    </xf>
    <xf numFmtId="164" fontId="8" fillId="0" borderId="0" xfId="0" applyFont="1" applyAlignment="1">
      <alignment horizontal="right" wrapText="1"/>
    </xf>
    <xf numFmtId="166" fontId="5" fillId="0" borderId="16" xfId="0" applyNumberFormat="1" applyFont="1" applyBorder="1" applyAlignment="1">
      <alignment horizontal="right" vertical="center" wrapText="1"/>
    </xf>
    <xf numFmtId="164" fontId="9" fillId="0" borderId="0" xfId="0" applyFont="1" applyBorder="1" applyAlignment="1">
      <alignment horizontal="justify"/>
    </xf>
    <xf numFmtId="164" fontId="0" fillId="0" borderId="0" xfId="0" applyBorder="1" applyAlignment="1">
      <alignment/>
    </xf>
    <xf numFmtId="164" fontId="1" fillId="0" borderId="1" xfId="0" applyFont="1" applyBorder="1" applyAlignment="1">
      <alignment horizontal="justify"/>
    </xf>
    <xf numFmtId="164" fontId="10" fillId="0" borderId="17" xfId="0" applyFont="1" applyBorder="1" applyAlignment="1">
      <alignment/>
    </xf>
    <xf numFmtId="164" fontId="4" fillId="0" borderId="18" xfId="0" applyFont="1" applyBorder="1" applyAlignment="1">
      <alignment horizontal="center" vertical="center"/>
    </xf>
    <xf numFmtId="164" fontId="4" fillId="0" borderId="19" xfId="0" applyFont="1" applyBorder="1" applyAlignment="1">
      <alignment horizontal="center" vertical="center" wrapText="1"/>
    </xf>
    <xf numFmtId="164" fontId="4" fillId="0" borderId="18" xfId="0" applyFont="1" applyBorder="1" applyAlignment="1">
      <alignment horizontal="center" vertical="center" wrapText="1"/>
    </xf>
    <xf numFmtId="164" fontId="4" fillId="0" borderId="20" xfId="0" applyFont="1" applyBorder="1" applyAlignment="1">
      <alignment horizontal="center" vertical="center" wrapText="1"/>
    </xf>
    <xf numFmtId="164" fontId="10" fillId="0" borderId="21" xfId="0" applyFont="1" applyBorder="1" applyAlignment="1">
      <alignment/>
    </xf>
    <xf numFmtId="167" fontId="2" fillId="0" borderId="5" xfId="0" applyNumberFormat="1" applyFont="1" applyBorder="1" applyAlignment="1">
      <alignment horizontal="center" vertical="top" wrapText="1"/>
    </xf>
    <xf numFmtId="167" fontId="2" fillId="0" borderId="6" xfId="0" applyNumberFormat="1" applyFont="1" applyBorder="1" applyAlignment="1">
      <alignment horizontal="center" vertical="top" wrapText="1"/>
    </xf>
    <xf numFmtId="167" fontId="2" fillId="0" borderId="7" xfId="0" applyNumberFormat="1" applyFont="1" applyBorder="1" applyAlignment="1">
      <alignment horizontal="center" vertical="top" wrapText="1"/>
    </xf>
    <xf numFmtId="164" fontId="2" fillId="0" borderId="21" xfId="0" applyFont="1" applyBorder="1" applyAlignment="1">
      <alignment/>
    </xf>
    <xf numFmtId="168" fontId="11" fillId="0" borderId="5" xfId="0" applyNumberFormat="1" applyFont="1" applyBorder="1" applyAlignment="1">
      <alignment horizontal="right" vertical="center" wrapText="1"/>
    </xf>
    <xf numFmtId="168" fontId="11" fillId="0" borderId="6" xfId="0" applyNumberFormat="1" applyFont="1" applyBorder="1" applyAlignment="1">
      <alignment horizontal="right" vertical="center" wrapText="1"/>
    </xf>
    <xf numFmtId="168" fontId="11" fillId="0" borderId="7" xfId="0" applyNumberFormat="1" applyFont="1" applyBorder="1" applyAlignment="1">
      <alignment horizontal="right" vertical="center" wrapText="1"/>
    </xf>
    <xf numFmtId="168" fontId="11" fillId="0" borderId="22" xfId="0" applyNumberFormat="1" applyFont="1" applyBorder="1" applyAlignment="1">
      <alignment horizontal="right" vertical="center" wrapText="1"/>
    </xf>
    <xf numFmtId="168" fontId="11" fillId="0" borderId="15" xfId="0" applyNumberFormat="1" applyFont="1" applyBorder="1" applyAlignment="1">
      <alignment horizontal="right" vertical="center" wrapText="1"/>
    </xf>
    <xf numFmtId="164" fontId="11" fillId="0" borderId="21" xfId="0" applyFont="1" applyBorder="1" applyAlignment="1">
      <alignment/>
    </xf>
    <xf numFmtId="165" fontId="11" fillId="0" borderId="5" xfId="0" applyNumberFormat="1" applyFont="1" applyBorder="1" applyAlignment="1">
      <alignment horizontal="right" vertical="center" wrapText="1"/>
    </xf>
    <xf numFmtId="165" fontId="11" fillId="0" borderId="6" xfId="0" applyNumberFormat="1" applyFont="1" applyBorder="1" applyAlignment="1">
      <alignment horizontal="right" vertical="center" wrapText="1"/>
    </xf>
    <xf numFmtId="165" fontId="11" fillId="0" borderId="7" xfId="0" applyNumberFormat="1" applyFont="1" applyBorder="1" applyAlignment="1">
      <alignment horizontal="right" vertical="center" wrapText="1"/>
    </xf>
    <xf numFmtId="168" fontId="11" fillId="0" borderId="5" xfId="0" applyNumberFormat="1" applyFont="1" applyBorder="1" applyAlignment="1">
      <alignment/>
    </xf>
    <xf numFmtId="168" fontId="11" fillId="0" borderId="6" xfId="0" applyNumberFormat="1" applyFont="1" applyBorder="1" applyAlignment="1">
      <alignment/>
    </xf>
    <xf numFmtId="168" fontId="11" fillId="0" borderId="7" xfId="0" applyNumberFormat="1" applyFont="1" applyBorder="1" applyAlignment="1">
      <alignment/>
    </xf>
    <xf numFmtId="169" fontId="11" fillId="0" borderId="5" xfId="0" applyNumberFormat="1" applyFont="1" applyBorder="1" applyAlignment="1">
      <alignment/>
    </xf>
    <xf numFmtId="169" fontId="11" fillId="0" borderId="6" xfId="0" applyNumberFormat="1" applyFont="1" applyBorder="1" applyAlignment="1">
      <alignment/>
    </xf>
    <xf numFmtId="169" fontId="11" fillId="0" borderId="7" xfId="0" applyNumberFormat="1" applyFont="1" applyBorder="1" applyAlignment="1">
      <alignment/>
    </xf>
    <xf numFmtId="169" fontId="11" fillId="0" borderId="6" xfId="0" applyNumberFormat="1" applyFont="1" applyBorder="1" applyAlignment="1">
      <alignment horizontal="center"/>
    </xf>
    <xf numFmtId="164" fontId="11" fillId="0" borderId="23" xfId="0" applyFont="1" applyBorder="1" applyAlignment="1">
      <alignment/>
    </xf>
    <xf numFmtId="168" fontId="11" fillId="0" borderId="10" xfId="0" applyNumberFormat="1" applyFont="1" applyBorder="1" applyAlignment="1">
      <alignment/>
    </xf>
    <xf numFmtId="168" fontId="11" fillId="0" borderId="11" xfId="0" applyNumberFormat="1" applyFont="1" applyBorder="1" applyAlignment="1">
      <alignment/>
    </xf>
    <xf numFmtId="168" fontId="11" fillId="0" borderId="12" xfId="0" applyNumberFormat="1" applyFont="1" applyBorder="1" applyAlignment="1">
      <alignment/>
    </xf>
    <xf numFmtId="164" fontId="11" fillId="0" borderId="0" xfId="0" applyFont="1" applyBorder="1" applyAlignment="1">
      <alignment/>
    </xf>
    <xf numFmtId="168" fontId="11" fillId="0" borderId="0" xfId="0" applyNumberFormat="1" applyFont="1" applyBorder="1" applyAlignment="1">
      <alignment/>
    </xf>
    <xf numFmtId="165" fontId="11" fillId="0" borderId="22" xfId="0" applyNumberFormat="1" applyFont="1" applyBorder="1" applyAlignment="1">
      <alignment horizontal="right" vertical="center" wrapText="1"/>
    </xf>
    <xf numFmtId="168" fontId="11" fillId="0" borderId="22" xfId="0" applyNumberFormat="1" applyFont="1" applyBorder="1" applyAlignment="1">
      <alignment/>
    </xf>
    <xf numFmtId="169" fontId="11" fillId="0" borderId="22" xfId="0" applyNumberFormat="1" applyFont="1" applyBorder="1" applyAlignment="1">
      <alignment/>
    </xf>
    <xf numFmtId="168" fontId="11" fillId="0" borderId="24" xfId="0" applyNumberFormat="1" applyFont="1" applyBorder="1" applyAlignment="1">
      <alignment/>
    </xf>
    <xf numFmtId="164" fontId="7" fillId="0" borderId="9" xfId="0" applyFont="1" applyBorder="1" applyAlignment="1">
      <alignment horizontal="center" vertical="center" wrapText="1"/>
    </xf>
    <xf numFmtId="164" fontId="5" fillId="0" borderId="9" xfId="0" applyFont="1" applyBorder="1" applyAlignment="1">
      <alignment horizontal="center" vertical="top" wrapText="1"/>
    </xf>
    <xf numFmtId="164" fontId="5" fillId="0" borderId="0" xfId="0" applyFont="1" applyBorder="1" applyAlignment="1">
      <alignment horizontal="center" vertical="top" wrapText="1"/>
    </xf>
    <xf numFmtId="168" fontId="11" fillId="0" borderId="5" xfId="0" applyNumberFormat="1" applyFont="1" applyBorder="1" applyAlignment="1">
      <alignment horizontal="right" vertical="center" wrapText="1"/>
    </xf>
    <xf numFmtId="168" fontId="11" fillId="0" borderId="6" xfId="0" applyNumberFormat="1" applyFont="1" applyBorder="1" applyAlignment="1">
      <alignment horizontal="right" vertical="center" wrapText="1"/>
    </xf>
    <xf numFmtId="168" fontId="11" fillId="0" borderId="7" xfId="0" applyNumberFormat="1" applyFont="1" applyBorder="1" applyAlignment="1">
      <alignment horizontal="right" vertical="center" wrapText="1"/>
    </xf>
    <xf numFmtId="168" fontId="11" fillId="0" borderId="22" xfId="0" applyNumberFormat="1" applyFont="1" applyBorder="1" applyAlignment="1">
      <alignment horizontal="right" vertical="center" wrapText="1"/>
    </xf>
    <xf numFmtId="168" fontId="11" fillId="0" borderId="15" xfId="0" applyNumberFormat="1" applyFont="1" applyBorder="1" applyAlignment="1">
      <alignment horizontal="right" vertical="center" wrapText="1"/>
    </xf>
    <xf numFmtId="168" fontId="1" fillId="0" borderId="9" xfId="0" applyNumberFormat="1" applyFont="1" applyBorder="1" applyAlignment="1">
      <alignment horizontal="right" vertical="center" wrapText="1"/>
    </xf>
    <xf numFmtId="168" fontId="1" fillId="0" borderId="0" xfId="0" applyNumberFormat="1" applyFont="1" applyBorder="1" applyAlignment="1">
      <alignment horizontal="right" vertical="center" wrapText="1"/>
    </xf>
    <xf numFmtId="168" fontId="5" fillId="0" borderId="9" xfId="0" applyNumberFormat="1" applyFont="1" applyBorder="1" applyAlignment="1">
      <alignment horizontal="right" vertical="center" wrapText="1"/>
    </xf>
    <xf numFmtId="168" fontId="5" fillId="0" borderId="0" xfId="0" applyNumberFormat="1" applyFont="1" applyBorder="1" applyAlignment="1">
      <alignment horizontal="right" vertical="center" wrapText="1"/>
    </xf>
    <xf numFmtId="165" fontId="1" fillId="0" borderId="9" xfId="0" applyNumberFormat="1" applyFont="1" applyBorder="1" applyAlignment="1">
      <alignment horizontal="right" vertical="center" wrapText="1"/>
    </xf>
    <xf numFmtId="168" fontId="12" fillId="0" borderId="9" xfId="0" applyNumberFormat="1" applyFont="1" applyBorder="1" applyAlignment="1">
      <alignment horizontal="right" vertical="center" wrapText="1"/>
    </xf>
    <xf numFmtId="168" fontId="12" fillId="0" borderId="0" xfId="0" applyNumberFormat="1" applyFont="1" applyBorder="1" applyAlignment="1">
      <alignment horizontal="right" vertical="center" wrapText="1"/>
    </xf>
    <xf numFmtId="164" fontId="0" fillId="0" borderId="9" xfId="0" applyBorder="1" applyAlignment="1">
      <alignment/>
    </xf>
    <xf numFmtId="164" fontId="13" fillId="0" borderId="9" xfId="0" applyFont="1" applyBorder="1" applyAlignment="1">
      <alignment/>
    </xf>
    <xf numFmtId="164" fontId="13" fillId="0" borderId="0" xfId="0" applyFont="1" applyBorder="1" applyAlignment="1">
      <alignment/>
    </xf>
    <xf numFmtId="168" fontId="10" fillId="0" borderId="10" xfId="0" applyNumberFormat="1" applyFont="1" applyBorder="1" applyAlignment="1">
      <alignment/>
    </xf>
    <xf numFmtId="168" fontId="10" fillId="0" borderId="11" xfId="0" applyNumberFormat="1" applyFont="1" applyBorder="1" applyAlignment="1">
      <alignment/>
    </xf>
    <xf numFmtId="168" fontId="10" fillId="0" borderId="1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 topLeftCell="A1">
      <selection activeCell="B41" sqref="B41"/>
    </sheetView>
  </sheetViews>
  <sheetFormatPr defaultColWidth="9.140625" defaultRowHeight="12.75"/>
  <cols>
    <col min="1" max="1" width="34.00390625" style="1" customWidth="1"/>
    <col min="2" max="2" width="10.8515625" style="1" customWidth="1"/>
    <col min="3" max="3" width="8.8515625" style="1" customWidth="1"/>
    <col min="4" max="4" width="8.28125" style="1" customWidth="1"/>
    <col min="5" max="5" width="9.57421875" style="1" customWidth="1"/>
    <col min="6" max="6" width="9.28125" style="1" customWidth="1"/>
    <col min="7" max="7" width="9.57421875" style="1" customWidth="1"/>
    <col min="8" max="8" width="9.00390625" style="1" customWidth="1"/>
    <col min="9" max="9" width="9.57421875" style="1" customWidth="1"/>
    <col min="10" max="10" width="12.28125" style="1" customWidth="1"/>
    <col min="11" max="11" width="10.7109375" style="1" customWidth="1"/>
    <col min="12" max="16384" width="9.140625" style="1" customWidth="1"/>
  </cols>
  <sheetData>
    <row r="1" spans="1:9" ht="14.25" customHeight="1">
      <c r="A1" s="2" t="s">
        <v>0</v>
      </c>
      <c r="B1" s="2"/>
      <c r="C1" s="2"/>
      <c r="D1" s="2"/>
      <c r="E1" s="2"/>
      <c r="F1" s="2"/>
      <c r="G1" s="2"/>
      <c r="H1" s="2"/>
      <c r="I1" s="3"/>
    </row>
    <row r="2" spans="1:9" ht="14.25" customHeight="1">
      <c r="A2" s="4"/>
      <c r="B2" s="4"/>
      <c r="C2" s="4"/>
      <c r="D2" s="4"/>
      <c r="E2" s="4"/>
      <c r="F2" s="4"/>
      <c r="G2" s="4"/>
      <c r="H2" s="4"/>
      <c r="I2" s="5"/>
    </row>
    <row r="3" spans="1:11" ht="16.5" customHeight="1">
      <c r="A3" s="6"/>
      <c r="B3" s="6"/>
      <c r="C3" s="7"/>
      <c r="D3" s="8"/>
      <c r="E3" s="8"/>
      <c r="F3" s="8"/>
      <c r="G3" s="9"/>
      <c r="H3" s="9"/>
      <c r="I3" s="9"/>
      <c r="K3" s="10" t="s">
        <v>1</v>
      </c>
    </row>
    <row r="4" spans="1:11" ht="16.5" customHeight="1">
      <c r="A4" s="11"/>
      <c r="B4" s="12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4" t="s">
        <v>11</v>
      </c>
    </row>
    <row r="5" spans="1:11" ht="12.75" customHeight="1">
      <c r="A5" s="15" t="s">
        <v>12</v>
      </c>
      <c r="B5" s="16">
        <f>B7+B11+B12+B13+B14</f>
        <v>458162</v>
      </c>
      <c r="C5" s="16">
        <f>C7+C11+C12+C13+C14</f>
        <v>1478562</v>
      </c>
      <c r="D5" s="16">
        <f>D7+D11+D12+D13+D14</f>
        <v>130510</v>
      </c>
      <c r="E5" s="16">
        <f>E7+E11+E12+E13+E14</f>
        <v>181668</v>
      </c>
      <c r="F5" s="16">
        <f aca="true" t="shared" si="0" ref="F5:K5">SUM(F11:F14)+F7</f>
        <v>213243</v>
      </c>
      <c r="G5" s="16">
        <f t="shared" si="0"/>
        <v>430612</v>
      </c>
      <c r="H5" s="16">
        <f t="shared" si="0"/>
        <v>192616</v>
      </c>
      <c r="I5" s="16">
        <f t="shared" si="0"/>
        <v>28989</v>
      </c>
      <c r="J5" s="16">
        <f t="shared" si="0"/>
        <v>432231</v>
      </c>
      <c r="K5" s="17">
        <f t="shared" si="0"/>
        <v>393425</v>
      </c>
    </row>
    <row r="6" spans="1:11" ht="12.75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20"/>
    </row>
    <row r="7" spans="1:11" ht="12.75" customHeight="1">
      <c r="A7" s="15" t="s">
        <v>13</v>
      </c>
      <c r="B7" s="21">
        <f aca="true" t="shared" si="1" ref="B7:K7">SUM(B8:B9)</f>
        <v>232136</v>
      </c>
      <c r="C7" s="21">
        <f t="shared" si="1"/>
        <v>1402311</v>
      </c>
      <c r="D7" s="21">
        <f t="shared" si="1"/>
        <v>135054</v>
      </c>
      <c r="E7" s="21">
        <f t="shared" si="1"/>
        <v>177347</v>
      </c>
      <c r="F7" s="21">
        <f t="shared" si="1"/>
        <v>214708</v>
      </c>
      <c r="G7" s="21">
        <f t="shared" si="1"/>
        <v>430078</v>
      </c>
      <c r="H7" s="21">
        <f t="shared" si="1"/>
        <v>192425</v>
      </c>
      <c r="I7" s="21">
        <f t="shared" si="1"/>
        <v>28044</v>
      </c>
      <c r="J7" s="21">
        <f t="shared" si="1"/>
        <v>416826</v>
      </c>
      <c r="K7" s="22">
        <f t="shared" si="1"/>
        <v>363586</v>
      </c>
    </row>
    <row r="8" spans="1:11" ht="12.75" customHeight="1">
      <c r="A8" s="18" t="s">
        <v>14</v>
      </c>
      <c r="B8" s="19">
        <v>163203</v>
      </c>
      <c r="C8" s="19">
        <v>481734</v>
      </c>
      <c r="D8" s="19">
        <v>75653</v>
      </c>
      <c r="E8" s="19">
        <v>177018</v>
      </c>
      <c r="F8" s="19">
        <v>157815</v>
      </c>
      <c r="G8" s="19">
        <v>430078</v>
      </c>
      <c r="H8" s="19">
        <v>144073</v>
      </c>
      <c r="I8" s="19">
        <f>20647+6422</f>
        <v>27069</v>
      </c>
      <c r="J8" s="19">
        <v>416826</v>
      </c>
      <c r="K8" s="20">
        <v>363586</v>
      </c>
    </row>
    <row r="9" spans="1:11" ht="12.75" customHeight="1">
      <c r="A9" s="18" t="s">
        <v>15</v>
      </c>
      <c r="B9" s="19">
        <v>68933</v>
      </c>
      <c r="C9" s="19">
        <v>920577</v>
      </c>
      <c r="D9" s="19">
        <v>59401</v>
      </c>
      <c r="E9" s="19">
        <v>329</v>
      </c>
      <c r="F9" s="19">
        <v>56893</v>
      </c>
      <c r="G9" s="19">
        <v>0</v>
      </c>
      <c r="H9" s="19">
        <v>48352</v>
      </c>
      <c r="I9" s="19">
        <v>975</v>
      </c>
      <c r="J9" s="19">
        <v>0</v>
      </c>
      <c r="K9" s="20">
        <v>0</v>
      </c>
    </row>
    <row r="10" spans="1:11" ht="12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20"/>
    </row>
    <row r="11" spans="1:11" ht="12.75" customHeight="1">
      <c r="A11" s="18" t="s">
        <v>16</v>
      </c>
      <c r="B11" s="19">
        <v>11469</v>
      </c>
      <c r="C11" s="19">
        <v>6649</v>
      </c>
      <c r="D11" s="19">
        <v>289</v>
      </c>
      <c r="E11" s="23">
        <v>0</v>
      </c>
      <c r="F11" s="19">
        <v>349</v>
      </c>
      <c r="G11" s="19">
        <v>10</v>
      </c>
      <c r="H11" s="19">
        <v>0</v>
      </c>
      <c r="I11" s="19"/>
      <c r="J11" s="19">
        <v>413</v>
      </c>
      <c r="K11" s="20">
        <v>582</v>
      </c>
    </row>
    <row r="12" spans="1:11" ht="12.75" customHeight="1">
      <c r="A12" s="18" t="s">
        <v>17</v>
      </c>
      <c r="B12" s="19"/>
      <c r="C12" s="19">
        <v>37398</v>
      </c>
      <c r="D12" s="19">
        <v>4670</v>
      </c>
      <c r="E12" s="19">
        <v>2869</v>
      </c>
      <c r="F12" s="23">
        <v>1276</v>
      </c>
      <c r="G12" s="19">
        <v>0</v>
      </c>
      <c r="H12" s="19">
        <v>0</v>
      </c>
      <c r="I12" s="19"/>
      <c r="J12" s="19">
        <v>0</v>
      </c>
      <c r="K12" s="20">
        <v>0</v>
      </c>
    </row>
    <row r="13" spans="1:11" ht="12.75" customHeight="1">
      <c r="A13" s="18" t="s">
        <v>18</v>
      </c>
      <c r="B13" s="19"/>
      <c r="C13" s="23">
        <v>-40</v>
      </c>
      <c r="D13" s="23">
        <v>-9713</v>
      </c>
      <c r="E13" s="23">
        <v>0</v>
      </c>
      <c r="F13" s="23">
        <v>-6979</v>
      </c>
      <c r="G13" s="19">
        <v>0</v>
      </c>
      <c r="H13" s="19">
        <v>0</v>
      </c>
      <c r="I13" s="19"/>
      <c r="J13" s="19">
        <v>0</v>
      </c>
      <c r="K13" s="20">
        <v>0</v>
      </c>
    </row>
    <row r="14" spans="1:11" ht="12.75" customHeight="1">
      <c r="A14" s="18" t="s">
        <v>19</v>
      </c>
      <c r="B14" s="19">
        <v>214557</v>
      </c>
      <c r="C14" s="19">
        <v>32244</v>
      </c>
      <c r="D14" s="19">
        <v>210</v>
      </c>
      <c r="E14" s="19">
        <v>1452</v>
      </c>
      <c r="F14" s="19">
        <v>3889</v>
      </c>
      <c r="G14" s="19">
        <v>524</v>
      </c>
      <c r="H14" s="19">
        <v>191</v>
      </c>
      <c r="I14" s="19">
        <v>945</v>
      </c>
      <c r="J14" s="19">
        <v>14992</v>
      </c>
      <c r="K14" s="20">
        <v>29257</v>
      </c>
    </row>
    <row r="15" spans="1:11" ht="12.75" customHeight="1">
      <c r="A15" s="18"/>
      <c r="B15" s="19"/>
      <c r="C15" s="19"/>
      <c r="D15" s="19"/>
      <c r="E15" s="19"/>
      <c r="F15" s="19"/>
      <c r="G15" s="21"/>
      <c r="H15" s="21"/>
      <c r="I15" s="21"/>
      <c r="J15" s="21"/>
      <c r="K15" s="22"/>
    </row>
    <row r="16" spans="1:11" ht="12.75" customHeight="1">
      <c r="A16" s="15" t="s">
        <v>20</v>
      </c>
      <c r="B16" s="21">
        <f aca="true" t="shared" si="2" ref="B16:K16">SUM(B18:B22)</f>
        <v>397164</v>
      </c>
      <c r="C16" s="21">
        <f t="shared" si="2"/>
        <v>1239053</v>
      </c>
      <c r="D16" s="21">
        <f t="shared" si="2"/>
        <v>124490</v>
      </c>
      <c r="E16" s="21">
        <f t="shared" si="2"/>
        <v>165497</v>
      </c>
      <c r="F16" s="21">
        <f t="shared" si="2"/>
        <v>205054</v>
      </c>
      <c r="G16" s="21">
        <f t="shared" si="2"/>
        <v>460952</v>
      </c>
      <c r="H16" s="21">
        <f t="shared" si="2"/>
        <v>146621</v>
      </c>
      <c r="I16" s="21">
        <f t="shared" si="2"/>
        <v>27151</v>
      </c>
      <c r="J16" s="21">
        <f t="shared" si="2"/>
        <v>421264</v>
      </c>
      <c r="K16" s="22">
        <f t="shared" si="2"/>
        <v>389526</v>
      </c>
    </row>
    <row r="17" spans="1:11" ht="12.75" customHeight="1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20"/>
    </row>
    <row r="18" spans="1:11" ht="12.75" customHeight="1">
      <c r="A18" s="18" t="s">
        <v>21</v>
      </c>
      <c r="B18" s="19">
        <v>2986</v>
      </c>
      <c r="C18" s="19">
        <v>13701</v>
      </c>
      <c r="D18" s="19">
        <v>2826</v>
      </c>
      <c r="E18" s="19">
        <v>9945</v>
      </c>
      <c r="F18" s="19">
        <v>360</v>
      </c>
      <c r="G18" s="19">
        <v>341573</v>
      </c>
      <c r="H18" s="19">
        <v>110292</v>
      </c>
      <c r="I18" s="19">
        <v>16100</v>
      </c>
      <c r="J18" s="19">
        <v>351200</v>
      </c>
      <c r="K18" s="20">
        <v>301874</v>
      </c>
    </row>
    <row r="19" spans="1:11" ht="12.75" customHeight="1">
      <c r="A19" s="18" t="s">
        <v>22</v>
      </c>
      <c r="B19" s="19">
        <v>121604</v>
      </c>
      <c r="C19" s="19">
        <v>684040</v>
      </c>
      <c r="D19" s="19">
        <v>69196</v>
      </c>
      <c r="E19" s="19">
        <v>97119</v>
      </c>
      <c r="F19" s="19">
        <v>120781</v>
      </c>
      <c r="G19" s="19">
        <v>3793</v>
      </c>
      <c r="H19" s="19">
        <v>1463</v>
      </c>
      <c r="I19" s="19">
        <v>202</v>
      </c>
      <c r="J19" s="19">
        <v>6879</v>
      </c>
      <c r="K19" s="20">
        <v>13659</v>
      </c>
    </row>
    <row r="20" spans="1:11" ht="12.75" customHeight="1">
      <c r="A20" s="18" t="s">
        <v>23</v>
      </c>
      <c r="B20" s="19">
        <v>98405</v>
      </c>
      <c r="C20" s="19">
        <v>278392</v>
      </c>
      <c r="D20" s="19">
        <v>17403</v>
      </c>
      <c r="E20" s="19">
        <v>27934</v>
      </c>
      <c r="F20" s="19">
        <v>29291</v>
      </c>
      <c r="G20" s="19">
        <v>47138</v>
      </c>
      <c r="H20" s="19">
        <v>11501</v>
      </c>
      <c r="I20" s="19">
        <v>7841</v>
      </c>
      <c r="J20" s="19">
        <v>40872</v>
      </c>
      <c r="K20" s="20">
        <v>55710</v>
      </c>
    </row>
    <row r="21" spans="1:11" ht="12.75" customHeight="1">
      <c r="A21" s="18" t="s">
        <v>24</v>
      </c>
      <c r="B21" s="19">
        <v>89623</v>
      </c>
      <c r="C21" s="19">
        <v>12521</v>
      </c>
      <c r="D21" s="19">
        <v>9370</v>
      </c>
      <c r="E21" s="19">
        <v>299</v>
      </c>
      <c r="F21" s="19">
        <v>11712</v>
      </c>
      <c r="G21" s="19">
        <v>1016</v>
      </c>
      <c r="H21" s="19">
        <v>817</v>
      </c>
      <c r="I21" s="19">
        <v>341</v>
      </c>
      <c r="J21" s="19">
        <v>6788</v>
      </c>
      <c r="K21" s="20">
        <v>8338</v>
      </c>
    </row>
    <row r="22" spans="1:11" ht="12.75" customHeight="1">
      <c r="A22" s="18" t="s">
        <v>25</v>
      </c>
      <c r="B22" s="19">
        <v>84546</v>
      </c>
      <c r="C22" s="19">
        <v>250399</v>
      </c>
      <c r="D22" s="19">
        <v>25695</v>
      </c>
      <c r="E22" s="19">
        <v>30200</v>
      </c>
      <c r="F22" s="19">
        <v>42910</v>
      </c>
      <c r="G22" s="19">
        <v>67432</v>
      </c>
      <c r="H22" s="19">
        <v>22548</v>
      </c>
      <c r="I22" s="19">
        <v>2667</v>
      </c>
      <c r="J22" s="19">
        <v>15525</v>
      </c>
      <c r="K22" s="20">
        <v>9945</v>
      </c>
    </row>
    <row r="23" spans="1:11" ht="12.75" customHeight="1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20"/>
    </row>
    <row r="24" spans="1:11" ht="12.75" customHeight="1">
      <c r="A24" s="15" t="s">
        <v>26</v>
      </c>
      <c r="B24" s="21">
        <f aca="true" t="shared" si="3" ref="B24:K24">SUM(B5-B16)</f>
        <v>60998</v>
      </c>
      <c r="C24" s="21">
        <f t="shared" si="3"/>
        <v>239509</v>
      </c>
      <c r="D24" s="24">
        <f t="shared" si="3"/>
        <v>6020</v>
      </c>
      <c r="E24" s="24">
        <f t="shared" si="3"/>
        <v>16171</v>
      </c>
      <c r="F24" s="24">
        <f t="shared" si="3"/>
        <v>8189</v>
      </c>
      <c r="G24" s="24">
        <f t="shared" si="3"/>
        <v>-30340</v>
      </c>
      <c r="H24" s="24">
        <f t="shared" si="3"/>
        <v>45995</v>
      </c>
      <c r="I24" s="24">
        <f t="shared" si="3"/>
        <v>1838</v>
      </c>
      <c r="J24" s="24">
        <f t="shared" si="3"/>
        <v>10967</v>
      </c>
      <c r="K24" s="25">
        <f t="shared" si="3"/>
        <v>3899</v>
      </c>
    </row>
    <row r="25" spans="1:11" ht="12.75" customHeight="1">
      <c r="A25" s="26"/>
      <c r="B25" s="19"/>
      <c r="C25" s="19"/>
      <c r="D25" s="19"/>
      <c r="E25" s="19"/>
      <c r="F25" s="19"/>
      <c r="G25" s="19"/>
      <c r="H25" s="19"/>
      <c r="I25" s="19"/>
      <c r="J25" s="19"/>
      <c r="K25" s="20"/>
    </row>
    <row r="26" spans="1:11" ht="12.75" customHeight="1">
      <c r="A26" s="27" t="s">
        <v>27</v>
      </c>
      <c r="B26" s="21">
        <v>239680</v>
      </c>
      <c r="C26" s="21">
        <v>59541</v>
      </c>
      <c r="D26" s="24">
        <v>1106</v>
      </c>
      <c r="E26" s="21">
        <v>98</v>
      </c>
      <c r="F26" s="21">
        <v>2075</v>
      </c>
      <c r="G26" s="21">
        <v>20290</v>
      </c>
      <c r="H26" s="21">
        <v>5312</v>
      </c>
      <c r="I26" s="21">
        <v>99</v>
      </c>
      <c r="J26" s="21">
        <v>8051</v>
      </c>
      <c r="K26" s="22">
        <v>2297</v>
      </c>
    </row>
    <row r="27" spans="1:11" ht="12.75" customHeight="1">
      <c r="A27" s="28"/>
      <c r="B27" s="19"/>
      <c r="C27" s="19"/>
      <c r="D27" s="19"/>
      <c r="E27" s="19"/>
      <c r="F27" s="19"/>
      <c r="G27" s="19"/>
      <c r="H27" s="19"/>
      <c r="I27" s="19"/>
      <c r="J27" s="19"/>
      <c r="K27" s="20"/>
    </row>
    <row r="28" spans="1:11" ht="12.75" customHeight="1">
      <c r="A28" s="15" t="s">
        <v>28</v>
      </c>
      <c r="B28" s="21">
        <v>93049</v>
      </c>
      <c r="C28" s="21">
        <v>134464</v>
      </c>
      <c r="D28" s="21">
        <v>17621</v>
      </c>
      <c r="E28" s="21">
        <v>3082</v>
      </c>
      <c r="F28" s="21">
        <v>22005</v>
      </c>
      <c r="G28" s="21">
        <v>9178</v>
      </c>
      <c r="H28" s="21">
        <v>5460</v>
      </c>
      <c r="I28" s="21">
        <v>1364</v>
      </c>
      <c r="J28" s="21">
        <v>5626</v>
      </c>
      <c r="K28" s="22">
        <v>10794</v>
      </c>
    </row>
    <row r="29" spans="1:11" ht="12.75" customHeight="1">
      <c r="A29" s="15"/>
      <c r="B29" s="21"/>
      <c r="C29" s="21"/>
      <c r="D29" s="21"/>
      <c r="E29" s="21"/>
      <c r="F29" s="21"/>
      <c r="G29" s="21"/>
      <c r="H29" s="21"/>
      <c r="I29" s="21"/>
      <c r="J29" s="21"/>
      <c r="K29" s="22"/>
    </row>
    <row r="30" spans="1:11" ht="12.75" customHeight="1">
      <c r="A30" s="15" t="s">
        <v>29</v>
      </c>
      <c r="B30" s="24">
        <f>SUM(B26-B28)</f>
        <v>146631</v>
      </c>
      <c r="C30" s="24">
        <f>SUM(C26-C28)</f>
        <v>-74923</v>
      </c>
      <c r="D30" s="24">
        <f aca="true" t="shared" si="4" ref="D30:K30">SUM(D26-D28)</f>
        <v>-16515</v>
      </c>
      <c r="E30" s="24">
        <f t="shared" si="4"/>
        <v>-2984</v>
      </c>
      <c r="F30" s="24">
        <f t="shared" si="4"/>
        <v>-19930</v>
      </c>
      <c r="G30" s="24">
        <f t="shared" si="4"/>
        <v>11112</v>
      </c>
      <c r="H30" s="24">
        <f t="shared" si="4"/>
        <v>-148</v>
      </c>
      <c r="I30" s="24">
        <f t="shared" si="4"/>
        <v>-1265</v>
      </c>
      <c r="J30" s="24">
        <f t="shared" si="4"/>
        <v>2425</v>
      </c>
      <c r="K30" s="25">
        <f t="shared" si="4"/>
        <v>-8497</v>
      </c>
    </row>
    <row r="31" spans="1:11" ht="12.75" customHeight="1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20"/>
    </row>
    <row r="32" spans="1:11" ht="12.75" customHeight="1">
      <c r="A32" s="15" t="s">
        <v>30</v>
      </c>
      <c r="B32" s="21">
        <v>2811</v>
      </c>
      <c r="C32" s="21">
        <v>771</v>
      </c>
      <c r="D32" s="21">
        <v>141</v>
      </c>
      <c r="E32" s="21">
        <v>0</v>
      </c>
      <c r="F32" s="21">
        <v>0</v>
      </c>
      <c r="G32" s="21">
        <v>3221</v>
      </c>
      <c r="H32" s="21">
        <v>13</v>
      </c>
      <c r="I32" s="21">
        <v>614</v>
      </c>
      <c r="J32" s="21">
        <v>3185</v>
      </c>
      <c r="K32" s="22">
        <v>8763</v>
      </c>
    </row>
    <row r="33" spans="1:11" ht="12.75" customHeight="1">
      <c r="A33" s="15"/>
      <c r="B33" s="21"/>
      <c r="C33" s="21"/>
      <c r="D33" s="21"/>
      <c r="E33" s="21"/>
      <c r="F33" s="21"/>
      <c r="G33" s="21"/>
      <c r="H33" s="21"/>
      <c r="I33" s="21"/>
      <c r="J33" s="21"/>
      <c r="K33" s="22"/>
    </row>
    <row r="34" spans="1:11" ht="12.75" customHeight="1">
      <c r="A34" s="15" t="s">
        <v>31</v>
      </c>
      <c r="B34" s="21">
        <v>4043</v>
      </c>
      <c r="C34" s="21">
        <v>18013</v>
      </c>
      <c r="D34" s="21">
        <v>1122</v>
      </c>
      <c r="E34" s="21">
        <v>1166</v>
      </c>
      <c r="F34" s="21">
        <v>557</v>
      </c>
      <c r="G34" s="21">
        <v>2705</v>
      </c>
      <c r="H34" s="21">
        <v>6998</v>
      </c>
      <c r="I34" s="21">
        <v>23</v>
      </c>
      <c r="J34" s="21">
        <v>7688</v>
      </c>
      <c r="K34" s="22">
        <v>2790</v>
      </c>
    </row>
    <row r="35" spans="1:11" ht="12.75" customHeight="1">
      <c r="A35" s="15"/>
      <c r="B35" s="21"/>
      <c r="C35" s="21"/>
      <c r="D35" s="21"/>
      <c r="E35" s="21"/>
      <c r="F35" s="21"/>
      <c r="G35" s="21"/>
      <c r="H35" s="21"/>
      <c r="I35" s="21"/>
      <c r="J35" s="21"/>
      <c r="K35" s="22"/>
    </row>
    <row r="36" spans="1:11" ht="12.75" customHeight="1">
      <c r="A36" s="15" t="s">
        <v>32</v>
      </c>
      <c r="B36" s="24">
        <f>B32-B34</f>
        <v>-1232</v>
      </c>
      <c r="C36" s="24">
        <f>C32-C34</f>
        <v>-17242</v>
      </c>
      <c r="D36" s="24">
        <f aca="true" t="shared" si="5" ref="D36:K36">D32-D34</f>
        <v>-981</v>
      </c>
      <c r="E36" s="24">
        <f t="shared" si="5"/>
        <v>-1166</v>
      </c>
      <c r="F36" s="24">
        <f t="shared" si="5"/>
        <v>-557</v>
      </c>
      <c r="G36" s="24">
        <f t="shared" si="5"/>
        <v>516</v>
      </c>
      <c r="H36" s="24">
        <f t="shared" si="5"/>
        <v>-6985</v>
      </c>
      <c r="I36" s="24">
        <f t="shared" si="5"/>
        <v>591</v>
      </c>
      <c r="J36" s="24">
        <f t="shared" si="5"/>
        <v>-4503</v>
      </c>
      <c r="K36" s="25">
        <f t="shared" si="5"/>
        <v>5973</v>
      </c>
    </row>
    <row r="37" spans="1:11" ht="12.75" customHeight="1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20"/>
    </row>
    <row r="38" spans="1:11" ht="12.75" customHeight="1">
      <c r="A38" s="29" t="s">
        <v>33</v>
      </c>
      <c r="B38" s="30">
        <f>SUM(B24+B26+B32-B28-B34)</f>
        <v>206397</v>
      </c>
      <c r="C38" s="30">
        <f>SUM(C24+C26+C32-C28-C34)</f>
        <v>147344</v>
      </c>
      <c r="D38" s="31">
        <f aca="true" t="shared" si="6" ref="D38:K38">SUM(D24+D26+D32-D28-D34)</f>
        <v>-11476</v>
      </c>
      <c r="E38" s="31">
        <f t="shared" si="6"/>
        <v>12021</v>
      </c>
      <c r="F38" s="31">
        <f t="shared" si="6"/>
        <v>-12298</v>
      </c>
      <c r="G38" s="31">
        <f t="shared" si="6"/>
        <v>-18712</v>
      </c>
      <c r="H38" s="31">
        <f t="shared" si="6"/>
        <v>38862</v>
      </c>
      <c r="I38" s="31">
        <f t="shared" si="6"/>
        <v>1164</v>
      </c>
      <c r="J38" s="31">
        <f t="shared" si="6"/>
        <v>8889</v>
      </c>
      <c r="K38" s="32">
        <f t="shared" si="6"/>
        <v>1375</v>
      </c>
    </row>
    <row r="39" spans="1:9" ht="16.5" customHeight="1">
      <c r="A39" s="2" t="s">
        <v>34</v>
      </c>
      <c r="B39" s="2"/>
      <c r="C39" s="2"/>
      <c r="D39" s="2"/>
      <c r="E39" s="2"/>
      <c r="F39" s="2"/>
      <c r="G39" s="2"/>
      <c r="H39" s="2"/>
      <c r="I39" s="3"/>
    </row>
    <row r="40" spans="1:5" ht="15.75">
      <c r="A40" s="6"/>
      <c r="B40" s="6"/>
      <c r="C40" s="7"/>
      <c r="D40" s="33" t="s">
        <v>35</v>
      </c>
      <c r="E40" s="34"/>
    </row>
    <row r="41" spans="1:5" ht="21">
      <c r="A41" s="11"/>
      <c r="B41" s="35" t="s">
        <v>36</v>
      </c>
      <c r="C41" s="13" t="s">
        <v>37</v>
      </c>
      <c r="D41" s="14" t="s">
        <v>38</v>
      </c>
      <c r="E41" s="36"/>
    </row>
    <row r="42" spans="1:7" ht="12.75" customHeight="1">
      <c r="A42" s="15" t="s">
        <v>12</v>
      </c>
      <c r="B42" s="16">
        <f>SUM(B44+B48+B49+B51)</f>
        <v>4477551</v>
      </c>
      <c r="C42" s="16">
        <f>SUM(C44+C48+C49+C51)</f>
        <v>1294798</v>
      </c>
      <c r="D42" s="17">
        <f>SUM(D44+D48+D49+D51)</f>
        <v>623355</v>
      </c>
      <c r="E42" s="37"/>
      <c r="G42" s="38"/>
    </row>
    <row r="43" spans="1:5" ht="12.75" customHeight="1">
      <c r="A43" s="18"/>
      <c r="B43" s="19"/>
      <c r="C43" s="19"/>
      <c r="D43" s="20"/>
      <c r="E43" s="39"/>
    </row>
    <row r="44" spans="1:5" ht="12.75" customHeight="1">
      <c r="A44" s="15" t="s">
        <v>13</v>
      </c>
      <c r="B44" s="21">
        <f>SUM(B45:B46)</f>
        <v>4391790</v>
      </c>
      <c r="C44" s="21">
        <f>SUM(C45:C46)</f>
        <v>1293230</v>
      </c>
      <c r="D44" s="22">
        <f>SUM(D45:D46)</f>
        <v>623355</v>
      </c>
      <c r="E44" s="39"/>
    </row>
    <row r="45" spans="1:5" ht="12.75" customHeight="1">
      <c r="A45" s="18" t="s">
        <v>14</v>
      </c>
      <c r="B45" s="19">
        <v>4217355</v>
      </c>
      <c r="C45" s="19">
        <v>1293230</v>
      </c>
      <c r="D45" s="20">
        <v>623355</v>
      </c>
      <c r="E45" s="39"/>
    </row>
    <row r="46" spans="1:5" ht="12.75" customHeight="1">
      <c r="A46" s="18" t="s">
        <v>15</v>
      </c>
      <c r="B46" s="19">
        <v>174435</v>
      </c>
      <c r="C46" s="19">
        <v>0</v>
      </c>
      <c r="D46" s="20">
        <v>0</v>
      </c>
      <c r="E46" s="39"/>
    </row>
    <row r="47" spans="1:5" ht="12.75" customHeight="1">
      <c r="A47" s="18"/>
      <c r="B47" s="19"/>
      <c r="C47" s="19"/>
      <c r="D47" s="20"/>
      <c r="E47" s="39"/>
    </row>
    <row r="48" spans="1:5" ht="12.75" customHeight="1">
      <c r="A48" s="18" t="s">
        <v>16</v>
      </c>
      <c r="B48" s="19">
        <v>0</v>
      </c>
      <c r="C48" s="19">
        <v>0</v>
      </c>
      <c r="D48" s="20">
        <v>0</v>
      </c>
      <c r="E48" s="39"/>
    </row>
    <row r="49" spans="1:5" ht="12.75" customHeight="1">
      <c r="A49" s="18" t="s">
        <v>17</v>
      </c>
      <c r="B49" s="19">
        <v>0</v>
      </c>
      <c r="C49" s="19">
        <v>0</v>
      </c>
      <c r="D49" s="20">
        <v>0</v>
      </c>
      <c r="E49" s="39"/>
    </row>
    <row r="50" spans="1:5" ht="12.75" customHeight="1">
      <c r="A50" s="18" t="s">
        <v>18</v>
      </c>
      <c r="B50" s="19">
        <v>0</v>
      </c>
      <c r="C50" s="19">
        <v>0</v>
      </c>
      <c r="D50" s="20">
        <v>0</v>
      </c>
      <c r="E50" s="39"/>
    </row>
    <row r="51" spans="1:5" ht="12.75" customHeight="1">
      <c r="A51" s="18" t="s">
        <v>19</v>
      </c>
      <c r="B51" s="19">
        <v>85761</v>
      </c>
      <c r="C51" s="19">
        <v>1568</v>
      </c>
      <c r="D51" s="20">
        <v>0</v>
      </c>
      <c r="E51" s="40"/>
    </row>
    <row r="52" spans="1:5" ht="12.75" customHeight="1">
      <c r="A52" s="18"/>
      <c r="B52" s="19"/>
      <c r="C52" s="19"/>
      <c r="D52" s="20"/>
      <c r="E52" s="39"/>
    </row>
    <row r="53" spans="1:5" ht="12.75" customHeight="1">
      <c r="A53" s="15" t="s">
        <v>20</v>
      </c>
      <c r="B53" s="21">
        <f>SUM(B55:B59)</f>
        <v>3817942</v>
      </c>
      <c r="C53" s="21">
        <f>SUM(C55:C59)</f>
        <v>1285212</v>
      </c>
      <c r="D53" s="22">
        <f>SUM(D55:D59)</f>
        <v>573123</v>
      </c>
      <c r="E53" s="39"/>
    </row>
    <row r="54" spans="1:5" ht="12.75" customHeight="1">
      <c r="A54" s="18"/>
      <c r="B54" s="19"/>
      <c r="C54" s="19"/>
      <c r="D54" s="20"/>
      <c r="E54" s="39"/>
    </row>
    <row r="55" spans="1:5" ht="12.75" customHeight="1">
      <c r="A55" s="18" t="s">
        <v>21</v>
      </c>
      <c r="B55" s="19">
        <v>2910323</v>
      </c>
      <c r="C55" s="19">
        <v>1070955</v>
      </c>
      <c r="D55" s="20">
        <v>418061</v>
      </c>
      <c r="E55" s="39"/>
    </row>
    <row r="56" spans="1:5" ht="12.75" customHeight="1">
      <c r="A56" s="18" t="s">
        <v>22</v>
      </c>
      <c r="B56" s="19">
        <v>83020</v>
      </c>
      <c r="C56" s="19">
        <v>0</v>
      </c>
      <c r="D56" s="20">
        <v>7626</v>
      </c>
      <c r="E56" s="39"/>
    </row>
    <row r="57" spans="1:5" ht="12.75" customHeight="1">
      <c r="A57" s="18" t="s">
        <v>23</v>
      </c>
      <c r="B57" s="19">
        <f>379820+22963</f>
        <v>402783</v>
      </c>
      <c r="C57" s="19">
        <v>117937</v>
      </c>
      <c r="D57" s="20">
        <v>71989</v>
      </c>
      <c r="E57" s="39"/>
    </row>
    <row r="58" spans="1:5" ht="12.75" customHeight="1">
      <c r="A58" s="18" t="s">
        <v>24</v>
      </c>
      <c r="B58" s="19">
        <v>10499</v>
      </c>
      <c r="C58" s="19">
        <v>7559</v>
      </c>
      <c r="D58" s="20">
        <v>6101</v>
      </c>
      <c r="E58" s="39"/>
    </row>
    <row r="59" spans="1:5" ht="12.75" customHeight="1">
      <c r="A59" s="18" t="s">
        <v>25</v>
      </c>
      <c r="B59" s="19">
        <f>293854+117463</f>
        <v>411317</v>
      </c>
      <c r="C59" s="19">
        <f>38390+50371</f>
        <v>88761</v>
      </c>
      <c r="D59" s="20">
        <f>27096+30388+11862</f>
        <v>69346</v>
      </c>
      <c r="E59" s="39"/>
    </row>
    <row r="60" spans="1:5" ht="12.75" customHeight="1">
      <c r="A60" s="18"/>
      <c r="B60" s="19"/>
      <c r="C60" s="19"/>
      <c r="D60" s="20"/>
      <c r="E60" s="39"/>
    </row>
    <row r="61" spans="1:5" ht="12.75" customHeight="1">
      <c r="A61" s="15" t="s">
        <v>26</v>
      </c>
      <c r="B61" s="21">
        <f>SUM(B42-B53)</f>
        <v>659609</v>
      </c>
      <c r="C61" s="24">
        <f>SUM(C42-C53)</f>
        <v>9586</v>
      </c>
      <c r="D61" s="22">
        <f>SUM(D42-D53)</f>
        <v>50232</v>
      </c>
      <c r="E61" s="39"/>
    </row>
    <row r="62" spans="1:5" ht="12.75" customHeight="1">
      <c r="A62" s="26"/>
      <c r="B62" s="19"/>
      <c r="C62" s="19"/>
      <c r="D62" s="20"/>
      <c r="E62" s="39"/>
    </row>
    <row r="63" spans="1:5" ht="12.75" customHeight="1">
      <c r="A63" s="27" t="s">
        <v>27</v>
      </c>
      <c r="B63" s="21">
        <v>278677</v>
      </c>
      <c r="C63" s="21">
        <v>7302</v>
      </c>
      <c r="D63" s="22">
        <v>2184</v>
      </c>
      <c r="E63" s="40"/>
    </row>
    <row r="64" spans="1:5" ht="12.75" customHeight="1">
      <c r="A64" s="28"/>
      <c r="B64" s="19"/>
      <c r="C64" s="19"/>
      <c r="D64" s="20"/>
      <c r="E64" s="39"/>
    </row>
    <row r="65" spans="1:5" ht="12.75" customHeight="1">
      <c r="A65" s="15" t="s">
        <v>28</v>
      </c>
      <c r="B65" s="21">
        <v>202031</v>
      </c>
      <c r="C65" s="21">
        <v>35</v>
      </c>
      <c r="D65" s="22">
        <v>503</v>
      </c>
      <c r="E65" s="39"/>
    </row>
    <row r="66" spans="1:7" ht="12.75" customHeight="1">
      <c r="A66" s="15"/>
      <c r="B66" s="19"/>
      <c r="C66" s="19"/>
      <c r="D66" s="20"/>
      <c r="E66" s="39"/>
      <c r="G66" s="38"/>
    </row>
    <row r="67" spans="1:5" ht="12.75" customHeight="1">
      <c r="A67" s="15" t="s">
        <v>29</v>
      </c>
      <c r="B67" s="24">
        <f>SUM(B63-B65)</f>
        <v>76646</v>
      </c>
      <c r="C67" s="24">
        <f>SUM(C63-C65)</f>
        <v>7267</v>
      </c>
      <c r="D67" s="25">
        <f>SUM(D63-D65)</f>
        <v>1681</v>
      </c>
      <c r="E67" s="39"/>
    </row>
    <row r="68" spans="1:5" ht="12.75" customHeight="1">
      <c r="A68" s="18"/>
      <c r="B68" s="19"/>
      <c r="C68" s="19"/>
      <c r="D68" s="20"/>
      <c r="E68" s="39"/>
    </row>
    <row r="69" spans="1:5" ht="12.75" customHeight="1">
      <c r="A69" s="15" t="s">
        <v>30</v>
      </c>
      <c r="B69" s="21">
        <v>2237</v>
      </c>
      <c r="C69" s="21">
        <v>0</v>
      </c>
      <c r="D69" s="22">
        <v>0</v>
      </c>
      <c r="E69" s="40"/>
    </row>
    <row r="70" spans="1:5" ht="12.75" customHeight="1">
      <c r="A70" s="15"/>
      <c r="B70" s="19"/>
      <c r="C70" s="19"/>
      <c r="D70" s="20"/>
      <c r="E70" s="39"/>
    </row>
    <row r="71" spans="1:5" ht="12.75" customHeight="1">
      <c r="A71" s="15" t="s">
        <v>31</v>
      </c>
      <c r="B71" s="41">
        <v>99421</v>
      </c>
      <c r="C71" s="41">
        <v>0</v>
      </c>
      <c r="D71" s="42">
        <v>50232</v>
      </c>
      <c r="E71" s="40"/>
    </row>
    <row r="72" spans="1:4" ht="12.75">
      <c r="A72" s="15"/>
      <c r="B72" s="43"/>
      <c r="C72" s="43"/>
      <c r="D72" s="44"/>
    </row>
    <row r="73" spans="1:4" ht="12.75">
      <c r="A73" s="15" t="s">
        <v>32</v>
      </c>
      <c r="B73" s="24">
        <f>SUM(B69-B71)</f>
        <v>-97184</v>
      </c>
      <c r="C73" s="24">
        <f>SUM(C69-C71)</f>
        <v>0</v>
      </c>
      <c r="D73" s="25">
        <f>SUM(D69-D71)</f>
        <v>-50232</v>
      </c>
    </row>
    <row r="74" spans="1:4" ht="12.75">
      <c r="A74" s="18"/>
      <c r="B74" s="43"/>
      <c r="C74" s="43"/>
      <c r="D74" s="44"/>
    </row>
    <row r="75" spans="1:4" ht="13.5">
      <c r="A75" s="29" t="s">
        <v>33</v>
      </c>
      <c r="B75" s="31">
        <f>B61+B63+B69-B65-B71</f>
        <v>639071</v>
      </c>
      <c r="C75" s="31">
        <f>C61+C63+C69-C65-C71</f>
        <v>16853</v>
      </c>
      <c r="D75" s="32">
        <f>D61+D63+D69-D65-D71</f>
        <v>1681</v>
      </c>
    </row>
    <row r="77" ht="12.75">
      <c r="B77" s="38"/>
    </row>
  </sheetData>
  <sheetProtection selectLockedCells="1" selectUnlockedCells="1"/>
  <mergeCells count="3">
    <mergeCell ref="A1:H1"/>
    <mergeCell ref="A2:H2"/>
    <mergeCell ref="A39:H39"/>
  </mergeCells>
  <printOptions/>
  <pageMargins left="0.7479166666666667" right="0.7479166666666667" top="0.4701388888888889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workbookViewId="0" topLeftCell="A31">
      <selection activeCell="B4" sqref="B4"/>
    </sheetView>
  </sheetViews>
  <sheetFormatPr defaultColWidth="9.140625" defaultRowHeight="12.75"/>
  <cols>
    <col min="1" max="1" width="32.8515625" style="1" customWidth="1"/>
    <col min="2" max="2" width="10.7109375" style="1" customWidth="1"/>
    <col min="3" max="3" width="9.8515625" style="1" customWidth="1"/>
    <col min="4" max="4" width="9.57421875" style="1" customWidth="1"/>
    <col min="5" max="5" width="9.140625" style="1" customWidth="1"/>
    <col min="6" max="6" width="9.421875" style="1" customWidth="1"/>
    <col min="7" max="8" width="9.28125" style="1" customWidth="1"/>
    <col min="9" max="9" width="9.140625" style="1" customWidth="1"/>
    <col min="10" max="10" width="12.28125" style="1" customWidth="1"/>
    <col min="11" max="11" width="10.7109375" style="1" customWidth="1"/>
    <col min="12" max="16384" width="9.140625" style="1" customWidth="1"/>
  </cols>
  <sheetData>
    <row r="1" spans="1:9" ht="14.25" customHeight="1">
      <c r="A1" s="2" t="s">
        <v>39</v>
      </c>
      <c r="B1" s="2"/>
      <c r="C1" s="2"/>
      <c r="D1" s="2"/>
      <c r="E1" s="2"/>
      <c r="F1" s="2"/>
      <c r="G1" s="2"/>
      <c r="H1" s="2"/>
      <c r="I1" s="3"/>
    </row>
    <row r="2" spans="1:9" ht="14.25" customHeight="1">
      <c r="A2" s="4"/>
      <c r="B2" s="4"/>
      <c r="C2" s="4"/>
      <c r="D2" s="4"/>
      <c r="E2" s="4"/>
      <c r="F2" s="4"/>
      <c r="G2" s="4"/>
      <c r="H2" s="4"/>
      <c r="I2" s="5"/>
    </row>
    <row r="3" spans="1:11" ht="16.5" customHeight="1">
      <c r="A3" s="6"/>
      <c r="B3" s="6"/>
      <c r="C3" s="7"/>
      <c r="D3" s="7"/>
      <c r="E3" s="34"/>
      <c r="F3" s="9"/>
      <c r="G3" s="9"/>
      <c r="H3" s="9"/>
      <c r="I3" s="9"/>
      <c r="K3" s="45" t="s">
        <v>1</v>
      </c>
    </row>
    <row r="4" spans="1:11" ht="16.5" customHeight="1">
      <c r="A4" s="11"/>
      <c r="B4" s="12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4" t="s">
        <v>11</v>
      </c>
    </row>
    <row r="5" spans="1:11" ht="12.75" customHeight="1">
      <c r="A5" s="15" t="s">
        <v>40</v>
      </c>
      <c r="B5" s="16">
        <f>SUM(B7+B12+B20)</f>
        <v>3301219</v>
      </c>
      <c r="C5" s="16">
        <f>SUM(C7+C12+C20)</f>
        <v>2121772</v>
      </c>
      <c r="D5" s="16">
        <f>SUM(D7+D12+D20)</f>
        <v>208887</v>
      </c>
      <c r="E5" s="16">
        <f>SUM(E7+E12+E20)</f>
        <v>115314</v>
      </c>
      <c r="F5" s="16">
        <f>SUM(F7+F12+F20)</f>
        <v>253687</v>
      </c>
      <c r="G5" s="16">
        <f>SUM(G7+G12)</f>
        <v>381979</v>
      </c>
      <c r="H5" s="16">
        <f>SUM(H7+H12)</f>
        <v>279483</v>
      </c>
      <c r="I5" s="16">
        <f>SUM(I7+I12)</f>
        <v>29288</v>
      </c>
      <c r="J5" s="16">
        <f>SUM(J7+J12)</f>
        <v>421034</v>
      </c>
      <c r="K5" s="17">
        <f>SUM(K7+K12)</f>
        <v>412473</v>
      </c>
    </row>
    <row r="6" spans="1:11" ht="12.75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20"/>
    </row>
    <row r="7" spans="1:11" ht="12.75" customHeight="1">
      <c r="A7" s="15" t="s">
        <v>41</v>
      </c>
      <c r="B7" s="21">
        <f>SUM(B8:B10)</f>
        <v>2987895</v>
      </c>
      <c r="C7" s="21">
        <f aca="true" t="shared" si="0" ref="C7:K7">SUM(C8:C10)</f>
        <v>95360</v>
      </c>
      <c r="D7" s="21">
        <f>SUM(D8:D10)</f>
        <v>78296</v>
      </c>
      <c r="E7" s="21">
        <f t="shared" si="0"/>
        <v>2195</v>
      </c>
      <c r="F7" s="21">
        <f t="shared" si="0"/>
        <v>75462</v>
      </c>
      <c r="G7" s="21">
        <f t="shared" si="0"/>
        <v>4905</v>
      </c>
      <c r="H7" s="21">
        <f t="shared" si="0"/>
        <v>4371</v>
      </c>
      <c r="I7" s="21">
        <f t="shared" si="0"/>
        <v>2224</v>
      </c>
      <c r="J7" s="21">
        <f t="shared" si="0"/>
        <v>114467</v>
      </c>
      <c r="K7" s="22">
        <f t="shared" si="0"/>
        <v>281659</v>
      </c>
    </row>
    <row r="8" spans="1:11" ht="12.75" customHeight="1">
      <c r="A8" s="18" t="s">
        <v>42</v>
      </c>
      <c r="B8" s="19">
        <f>1640+715585+618736</f>
        <v>1335961</v>
      </c>
      <c r="C8" s="19">
        <f>265+95095</f>
        <v>95360</v>
      </c>
      <c r="D8" s="19">
        <v>78296</v>
      </c>
      <c r="E8" s="19">
        <f>324+1871</f>
        <v>2195</v>
      </c>
      <c r="F8" s="19">
        <f>12+75450</f>
        <v>75462</v>
      </c>
      <c r="G8" s="19">
        <f>5+4900</f>
        <v>4905</v>
      </c>
      <c r="H8" s="19">
        <v>4371</v>
      </c>
      <c r="I8" s="19">
        <v>2224</v>
      </c>
      <c r="J8" s="19">
        <v>113295</v>
      </c>
      <c r="K8" s="20">
        <f>185414+138+95777</f>
        <v>281329</v>
      </c>
    </row>
    <row r="9" spans="1:11" ht="12.75" customHeight="1">
      <c r="A9" s="18" t="s">
        <v>43</v>
      </c>
      <c r="B9" s="19">
        <v>655796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1172</v>
      </c>
      <c r="K9" s="20">
        <v>0</v>
      </c>
    </row>
    <row r="10" spans="1:11" ht="12.75" customHeight="1">
      <c r="A10" s="18" t="s">
        <v>44</v>
      </c>
      <c r="B10" s="46">
        <f>995265+873</f>
        <v>996138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20">
        <v>330</v>
      </c>
    </row>
    <row r="11" spans="1:11" ht="12.75" customHeight="1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20"/>
    </row>
    <row r="12" spans="1:11" ht="12.75" customHeight="1">
      <c r="A12" s="15" t="s">
        <v>45</v>
      </c>
      <c r="B12" s="21">
        <f aca="true" t="shared" si="1" ref="B12:K12">SUM(B13:B18)</f>
        <v>313324</v>
      </c>
      <c r="C12" s="21">
        <f t="shared" si="1"/>
        <v>2026412</v>
      </c>
      <c r="D12" s="21">
        <f t="shared" si="1"/>
        <v>130591</v>
      </c>
      <c r="E12" s="21">
        <f t="shared" si="1"/>
        <v>113119</v>
      </c>
      <c r="F12" s="21">
        <f t="shared" si="1"/>
        <v>178225</v>
      </c>
      <c r="G12" s="21">
        <f t="shared" si="1"/>
        <v>377074</v>
      </c>
      <c r="H12" s="21">
        <f t="shared" si="1"/>
        <v>275112</v>
      </c>
      <c r="I12" s="21">
        <f t="shared" si="1"/>
        <v>27064</v>
      </c>
      <c r="J12" s="21">
        <f t="shared" si="1"/>
        <v>306567</v>
      </c>
      <c r="K12" s="22">
        <f t="shared" si="1"/>
        <v>130814</v>
      </c>
    </row>
    <row r="13" spans="1:11" ht="12.75" customHeight="1">
      <c r="A13" s="18" t="s">
        <v>46</v>
      </c>
      <c r="B13" s="19">
        <v>3859</v>
      </c>
      <c r="C13" s="19">
        <v>647799</v>
      </c>
      <c r="D13" s="19">
        <v>66217</v>
      </c>
      <c r="E13" s="19">
        <v>31478</v>
      </c>
      <c r="F13" s="19">
        <v>62165</v>
      </c>
      <c r="G13" s="19">
        <v>172025</v>
      </c>
      <c r="H13" s="19">
        <v>102125</v>
      </c>
      <c r="I13" s="19">
        <v>13246</v>
      </c>
      <c r="J13" s="19">
        <v>59664</v>
      </c>
      <c r="K13" s="20">
        <v>80578</v>
      </c>
    </row>
    <row r="14" spans="1:11" ht="12.75" customHeight="1">
      <c r="A14" s="18" t="s">
        <v>47</v>
      </c>
      <c r="B14" s="19">
        <v>224400</v>
      </c>
      <c r="C14" s="19">
        <v>862297</v>
      </c>
      <c r="D14" s="19">
        <v>45986</v>
      </c>
      <c r="E14" s="19">
        <v>80243</v>
      </c>
      <c r="F14" s="19">
        <v>81086</v>
      </c>
      <c r="G14" s="19">
        <v>13183</v>
      </c>
      <c r="H14" s="19">
        <v>134127</v>
      </c>
      <c r="I14" s="19">
        <v>12003</v>
      </c>
      <c r="J14" s="19">
        <v>162221</v>
      </c>
      <c r="K14" s="20">
        <v>18057</v>
      </c>
    </row>
    <row r="15" spans="1:11" ht="12.75" customHeight="1">
      <c r="A15" s="18" t="s">
        <v>48</v>
      </c>
      <c r="B15" s="19">
        <v>61187</v>
      </c>
      <c r="C15" s="19">
        <v>0</v>
      </c>
      <c r="D15" s="19">
        <v>0</v>
      </c>
      <c r="E15" s="19">
        <v>0</v>
      </c>
      <c r="F15" s="19">
        <v>0</v>
      </c>
      <c r="G15" s="19">
        <v>158217</v>
      </c>
      <c r="H15" s="19">
        <v>0</v>
      </c>
      <c r="I15" s="19">
        <v>0</v>
      </c>
      <c r="J15" s="19">
        <v>36786</v>
      </c>
      <c r="K15" s="20">
        <v>2557</v>
      </c>
    </row>
    <row r="16" spans="1:11" ht="12.75" customHeight="1">
      <c r="A16" s="18" t="s">
        <v>49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20">
        <v>0</v>
      </c>
    </row>
    <row r="17" spans="1:11" ht="12.75" customHeight="1">
      <c r="A17" s="18" t="s">
        <v>50</v>
      </c>
      <c r="B17" s="19">
        <f>5252+7826</f>
        <v>13078</v>
      </c>
      <c r="C17" s="19">
        <f>7044+20900</f>
        <v>27944</v>
      </c>
      <c r="D17" s="19">
        <f>1729+1881</f>
        <v>3610</v>
      </c>
      <c r="E17" s="19">
        <f>410+288</f>
        <v>698</v>
      </c>
      <c r="F17" s="19">
        <f>1+1686</f>
        <v>1687</v>
      </c>
      <c r="G17" s="19">
        <f>3444+2897</f>
        <v>6341</v>
      </c>
      <c r="H17" s="19">
        <f>4283+4735</f>
        <v>9018</v>
      </c>
      <c r="I17" s="19">
        <f>82+90</f>
        <v>172</v>
      </c>
      <c r="J17" s="19">
        <v>485</v>
      </c>
      <c r="K17" s="20">
        <f>5161+6916</f>
        <v>12077</v>
      </c>
    </row>
    <row r="18" spans="1:11" ht="12.75" customHeight="1">
      <c r="A18" s="47" t="s">
        <v>51</v>
      </c>
      <c r="B18" s="19">
        <v>10800</v>
      </c>
      <c r="C18" s="19">
        <v>488372</v>
      </c>
      <c r="D18" s="19">
        <v>14778</v>
      </c>
      <c r="E18" s="19">
        <v>700</v>
      </c>
      <c r="F18" s="19">
        <v>33287</v>
      </c>
      <c r="G18" s="19">
        <v>27308</v>
      </c>
      <c r="H18" s="19">
        <v>29842</v>
      </c>
      <c r="I18" s="19">
        <v>1643</v>
      </c>
      <c r="J18" s="19">
        <v>47411</v>
      </c>
      <c r="K18" s="20">
        <v>17545</v>
      </c>
    </row>
    <row r="19" spans="1:11" ht="12.75" customHeight="1">
      <c r="A19" s="18"/>
      <c r="B19" s="19"/>
      <c r="C19" s="19"/>
      <c r="D19" s="19"/>
      <c r="E19" s="19"/>
      <c r="F19" s="19"/>
      <c r="G19" s="21"/>
      <c r="H19" s="21"/>
      <c r="I19" s="21"/>
      <c r="J19" s="21"/>
      <c r="K19" s="22"/>
    </row>
    <row r="20" spans="1:11" ht="12.75" customHeight="1">
      <c r="A20" s="15" t="s">
        <v>52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2">
        <v>0</v>
      </c>
    </row>
    <row r="21" spans="1:11" ht="12.75" customHeight="1">
      <c r="A21" s="28"/>
      <c r="B21" s="19"/>
      <c r="C21" s="19"/>
      <c r="D21" s="19"/>
      <c r="E21" s="19"/>
      <c r="F21" s="19"/>
      <c r="G21" s="19"/>
      <c r="H21" s="19"/>
      <c r="I21" s="19"/>
      <c r="J21" s="19"/>
      <c r="K21" s="20"/>
    </row>
    <row r="22" spans="1:11" ht="12.75" customHeight="1">
      <c r="A22" s="15" t="s">
        <v>53</v>
      </c>
      <c r="B22" s="21">
        <f>SUM(B24+B31+B36+B41)</f>
        <v>3301219</v>
      </c>
      <c r="C22" s="21">
        <f aca="true" t="shared" si="2" ref="C22:K22">SUM(C24+C31+C36+C41)</f>
        <v>2121772</v>
      </c>
      <c r="D22" s="21">
        <f>SUM(D24+D31+D36+D41)</f>
        <v>208887</v>
      </c>
      <c r="E22" s="21">
        <f t="shared" si="2"/>
        <v>115314</v>
      </c>
      <c r="F22" s="21">
        <f t="shared" si="2"/>
        <v>253687</v>
      </c>
      <c r="G22" s="21">
        <f t="shared" si="2"/>
        <v>381979</v>
      </c>
      <c r="H22" s="21">
        <f>SUM(H24+H31+H36+H41)</f>
        <v>279483</v>
      </c>
      <c r="I22" s="21">
        <f>SUM(I24+I31+I36+I41)</f>
        <v>29288</v>
      </c>
      <c r="J22" s="21">
        <f t="shared" si="2"/>
        <v>421034</v>
      </c>
      <c r="K22" s="22">
        <f t="shared" si="2"/>
        <v>412473</v>
      </c>
    </row>
    <row r="23" spans="1:11" ht="12.75" customHeight="1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20"/>
    </row>
    <row r="24" spans="1:11" ht="12.75" customHeight="1">
      <c r="A24" s="15" t="s">
        <v>54</v>
      </c>
      <c r="B24" s="21">
        <f aca="true" t="shared" si="3" ref="B24:K24">SUM(B25:B29)</f>
        <v>2464887</v>
      </c>
      <c r="C24" s="21">
        <f t="shared" si="3"/>
        <v>580506</v>
      </c>
      <c r="D24" s="21">
        <f t="shared" si="3"/>
        <v>10409</v>
      </c>
      <c r="E24" s="21">
        <f t="shared" si="3"/>
        <v>24970</v>
      </c>
      <c r="F24" s="21">
        <f t="shared" si="3"/>
        <v>23337</v>
      </c>
      <c r="G24" s="21">
        <f t="shared" si="3"/>
        <v>53491</v>
      </c>
      <c r="H24" s="21">
        <f t="shared" si="3"/>
        <v>170668</v>
      </c>
      <c r="I24" s="21">
        <f t="shared" si="3"/>
        <v>4355</v>
      </c>
      <c r="J24" s="21">
        <f t="shared" si="3"/>
        <v>204636</v>
      </c>
      <c r="K24" s="22">
        <f t="shared" si="3"/>
        <v>223000</v>
      </c>
    </row>
    <row r="25" spans="1:11" ht="12.75" customHeight="1">
      <c r="A25" s="18" t="s">
        <v>55</v>
      </c>
      <c r="B25" s="19">
        <v>408000</v>
      </c>
      <c r="C25" s="19">
        <v>225194</v>
      </c>
      <c r="D25" s="19">
        <v>22895</v>
      </c>
      <c r="E25" s="19">
        <v>9380</v>
      </c>
      <c r="F25" s="19">
        <v>72684</v>
      </c>
      <c r="G25" s="19">
        <v>124071</v>
      </c>
      <c r="H25" s="19">
        <v>263</v>
      </c>
      <c r="I25" s="19">
        <v>289</v>
      </c>
      <c r="J25" s="19">
        <v>118694</v>
      </c>
      <c r="K25" s="20">
        <v>77182</v>
      </c>
    </row>
    <row r="26" spans="1:11" ht="12.75" customHeight="1">
      <c r="A26" s="18" t="s">
        <v>56</v>
      </c>
      <c r="B26" s="19">
        <f>33899+4256+31697</f>
        <v>69852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20">
        <v>130</v>
      </c>
    </row>
    <row r="27" spans="1:11" ht="12.75" customHeight="1">
      <c r="A27" s="18" t="s">
        <v>57</v>
      </c>
      <c r="B27" s="19">
        <v>1896824</v>
      </c>
      <c r="C27" s="19">
        <v>355312</v>
      </c>
      <c r="D27" s="19">
        <v>0</v>
      </c>
      <c r="E27" s="19">
        <v>15590</v>
      </c>
      <c r="F27" s="19">
        <v>276</v>
      </c>
      <c r="G27" s="19">
        <v>0</v>
      </c>
      <c r="H27" s="19">
        <v>170001</v>
      </c>
      <c r="I27" s="19">
        <v>4058</v>
      </c>
      <c r="J27" s="19">
        <v>85942</v>
      </c>
      <c r="K27" s="20">
        <v>1511</v>
      </c>
    </row>
    <row r="28" spans="1:11" ht="12.75" customHeight="1">
      <c r="A28" s="18" t="s">
        <v>58</v>
      </c>
      <c r="B28" s="19">
        <v>90211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404</v>
      </c>
      <c r="I28" s="19">
        <v>8</v>
      </c>
      <c r="J28" s="19">
        <v>0</v>
      </c>
      <c r="K28" s="20">
        <v>144177</v>
      </c>
    </row>
    <row r="29" spans="1:11" ht="12.75" customHeight="1">
      <c r="A29" s="18" t="s">
        <v>59</v>
      </c>
      <c r="B29" s="19">
        <v>0</v>
      </c>
      <c r="C29" s="19">
        <v>0</v>
      </c>
      <c r="D29" s="23">
        <v>-12486</v>
      </c>
      <c r="E29" s="23">
        <v>0</v>
      </c>
      <c r="F29" s="23">
        <v>-49623</v>
      </c>
      <c r="G29" s="23">
        <v>-70580</v>
      </c>
      <c r="H29" s="19">
        <v>0</v>
      </c>
      <c r="I29" s="19">
        <v>0</v>
      </c>
      <c r="J29" s="19">
        <v>0</v>
      </c>
      <c r="K29" s="48">
        <v>0</v>
      </c>
    </row>
    <row r="30" spans="1:11" ht="12.75" customHeight="1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20"/>
    </row>
    <row r="31" spans="1:11" ht="12.75" customHeight="1">
      <c r="A31" s="15" t="s">
        <v>60</v>
      </c>
      <c r="B31" s="21">
        <f aca="true" t="shared" si="4" ref="B31:K31">SUM(B32:B34)</f>
        <v>670804</v>
      </c>
      <c r="C31" s="21">
        <f t="shared" si="4"/>
        <v>607930</v>
      </c>
      <c r="D31" s="21">
        <f t="shared" si="4"/>
        <v>148750</v>
      </c>
      <c r="E31" s="21">
        <f t="shared" si="4"/>
        <v>2761</v>
      </c>
      <c r="F31" s="21">
        <f t="shared" si="4"/>
        <v>176545</v>
      </c>
      <c r="G31" s="21">
        <f t="shared" si="4"/>
        <v>82133</v>
      </c>
      <c r="H31" s="21">
        <f t="shared" si="4"/>
        <v>27144</v>
      </c>
      <c r="I31" s="21">
        <f t="shared" si="4"/>
        <v>0</v>
      </c>
      <c r="J31" s="21">
        <f t="shared" si="4"/>
        <v>16196</v>
      </c>
      <c r="K31" s="22">
        <f t="shared" si="4"/>
        <v>80405</v>
      </c>
    </row>
    <row r="32" spans="1:11" ht="12.75" customHeight="1">
      <c r="A32" s="26" t="s">
        <v>61</v>
      </c>
      <c r="B32" s="19">
        <v>40014</v>
      </c>
      <c r="C32" s="19">
        <v>36179</v>
      </c>
      <c r="D32" s="19">
        <v>662</v>
      </c>
      <c r="E32" s="19">
        <v>2761</v>
      </c>
      <c r="F32" s="19">
        <v>12664</v>
      </c>
      <c r="G32" s="19">
        <v>8860</v>
      </c>
      <c r="H32" s="19">
        <v>1161</v>
      </c>
      <c r="I32" s="19">
        <v>0</v>
      </c>
      <c r="J32" s="19">
        <v>10820</v>
      </c>
      <c r="K32" s="20">
        <v>11392</v>
      </c>
    </row>
    <row r="33" spans="1:11" ht="12.75" customHeight="1">
      <c r="A33" s="49" t="s">
        <v>62</v>
      </c>
      <c r="B33" s="19">
        <v>630790</v>
      </c>
      <c r="C33" s="19">
        <v>0</v>
      </c>
      <c r="D33" s="19">
        <v>56725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5376</v>
      </c>
      <c r="K33" s="20">
        <v>0</v>
      </c>
    </row>
    <row r="34" spans="1:11" ht="12.75" customHeight="1">
      <c r="A34" s="26" t="s">
        <v>63</v>
      </c>
      <c r="B34" s="19">
        <v>0</v>
      </c>
      <c r="C34" s="19">
        <v>571751</v>
      </c>
      <c r="D34" s="19">
        <v>91363</v>
      </c>
      <c r="E34" s="19">
        <v>0</v>
      </c>
      <c r="F34" s="19">
        <v>163881</v>
      </c>
      <c r="G34" s="19">
        <v>73273</v>
      </c>
      <c r="H34" s="19">
        <v>25983</v>
      </c>
      <c r="I34" s="19">
        <v>0</v>
      </c>
      <c r="J34" s="19">
        <v>0</v>
      </c>
      <c r="K34" s="20">
        <v>69013</v>
      </c>
    </row>
    <row r="35" spans="1:11" ht="12.75" customHeight="1">
      <c r="A35" s="28"/>
      <c r="B35" s="19"/>
      <c r="C35" s="19"/>
      <c r="D35" s="19"/>
      <c r="E35" s="19"/>
      <c r="F35" s="19"/>
      <c r="G35" s="19"/>
      <c r="H35" s="19"/>
      <c r="I35" s="19"/>
      <c r="J35" s="19"/>
      <c r="K35" s="20"/>
    </row>
    <row r="36" spans="1:11" ht="12.75" customHeight="1">
      <c r="A36" s="15" t="s">
        <v>64</v>
      </c>
      <c r="B36" s="21">
        <f>SUM(B37:B39)</f>
        <v>127658</v>
      </c>
      <c r="C36" s="21">
        <f aca="true" t="shared" si="5" ref="C36:K36">SUM(C37:C39)</f>
        <v>932153</v>
      </c>
      <c r="D36" s="21">
        <f>SUM(D37:D39)</f>
        <v>48564</v>
      </c>
      <c r="E36" s="21">
        <f t="shared" si="5"/>
        <v>87495</v>
      </c>
      <c r="F36" s="21">
        <f t="shared" si="5"/>
        <v>52420</v>
      </c>
      <c r="G36" s="21">
        <f t="shared" si="5"/>
        <v>246213</v>
      </c>
      <c r="H36" s="21">
        <f>SUM(H37:H39)</f>
        <v>81609</v>
      </c>
      <c r="I36" s="21">
        <f>SUM(I37:I39)</f>
        <v>24933</v>
      </c>
      <c r="J36" s="21">
        <f t="shared" si="5"/>
        <v>198477</v>
      </c>
      <c r="K36" s="22">
        <f t="shared" si="5"/>
        <v>103975</v>
      </c>
    </row>
    <row r="37" spans="1:11" ht="12.75" customHeight="1">
      <c r="A37" s="18" t="s">
        <v>65</v>
      </c>
      <c r="B37" s="19">
        <v>0</v>
      </c>
      <c r="C37" s="19">
        <v>506524</v>
      </c>
      <c r="D37" s="19">
        <v>0</v>
      </c>
      <c r="E37" s="19">
        <v>19768</v>
      </c>
      <c r="F37" s="19">
        <v>0</v>
      </c>
      <c r="G37" s="19">
        <v>0</v>
      </c>
      <c r="H37" s="19">
        <v>21404</v>
      </c>
      <c r="I37" s="19">
        <v>13431</v>
      </c>
      <c r="J37" s="19">
        <v>36925</v>
      </c>
      <c r="K37" s="20">
        <v>0</v>
      </c>
    </row>
    <row r="38" spans="1:11" ht="12.75" customHeight="1">
      <c r="A38" s="18" t="s">
        <v>66</v>
      </c>
      <c r="B38" s="19">
        <v>27507</v>
      </c>
      <c r="C38" s="19">
        <v>348178</v>
      </c>
      <c r="D38" s="19">
        <v>46356</v>
      </c>
      <c r="E38" s="19">
        <v>62293</v>
      </c>
      <c r="F38" s="19">
        <v>47037</v>
      </c>
      <c r="G38" s="19">
        <v>210198</v>
      </c>
      <c r="H38" s="19">
        <v>19393</v>
      </c>
      <c r="I38" s="19">
        <v>10480</v>
      </c>
      <c r="J38" s="19">
        <v>140302</v>
      </c>
      <c r="K38" s="20">
        <v>95283</v>
      </c>
    </row>
    <row r="39" spans="1:11" ht="12.75" customHeight="1">
      <c r="A39" s="18" t="s">
        <v>67</v>
      </c>
      <c r="B39" s="19">
        <f>83544+16607</f>
        <v>100151</v>
      </c>
      <c r="C39" s="19">
        <f>76005+1446</f>
        <v>77451</v>
      </c>
      <c r="D39" s="19">
        <f>2191+17</f>
        <v>2208</v>
      </c>
      <c r="E39" s="19">
        <f>3464+1970</f>
        <v>5434</v>
      </c>
      <c r="F39" s="19">
        <f>3592+1791</f>
        <v>5383</v>
      </c>
      <c r="G39" s="19">
        <f>31351+4664</f>
        <v>36015</v>
      </c>
      <c r="H39" s="19">
        <f>40714+98</f>
        <v>40812</v>
      </c>
      <c r="I39" s="19">
        <f>901+121</f>
        <v>1022</v>
      </c>
      <c r="J39" s="19">
        <f>19242+1854+154</f>
        <v>21250</v>
      </c>
      <c r="K39" s="20">
        <f>230+6343+2119</f>
        <v>8692</v>
      </c>
    </row>
    <row r="40" spans="1:11" ht="12.75" customHeight="1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20"/>
    </row>
    <row r="41" spans="1:11" ht="12.75" customHeight="1">
      <c r="A41" s="29" t="s">
        <v>68</v>
      </c>
      <c r="B41" s="30">
        <v>37870</v>
      </c>
      <c r="C41" s="30">
        <v>1183</v>
      </c>
      <c r="D41" s="30">
        <v>1164</v>
      </c>
      <c r="E41" s="30">
        <v>88</v>
      </c>
      <c r="F41" s="30">
        <v>1385</v>
      </c>
      <c r="G41" s="30">
        <v>142</v>
      </c>
      <c r="H41" s="30">
        <v>62</v>
      </c>
      <c r="I41" s="30">
        <v>0</v>
      </c>
      <c r="J41" s="30">
        <v>1725</v>
      </c>
      <c r="K41" s="50">
        <v>5093</v>
      </c>
    </row>
    <row r="42" spans="1:9" ht="16.5" customHeight="1">
      <c r="A42" s="2" t="s">
        <v>69</v>
      </c>
      <c r="B42" s="2"/>
      <c r="C42" s="2"/>
      <c r="D42" s="2"/>
      <c r="E42" s="2"/>
      <c r="F42" s="2"/>
      <c r="G42" s="2"/>
      <c r="H42" s="2"/>
      <c r="I42" s="3"/>
    </row>
    <row r="43" spans="1:5" ht="15.75">
      <c r="A43" s="6"/>
      <c r="B43" s="6"/>
      <c r="C43" s="7"/>
      <c r="D43" s="34" t="s">
        <v>35</v>
      </c>
      <c r="E43" s="34"/>
    </row>
    <row r="44" spans="1:5" ht="21">
      <c r="A44" s="11"/>
      <c r="B44" s="35" t="s">
        <v>36</v>
      </c>
      <c r="C44" s="13" t="s">
        <v>37</v>
      </c>
      <c r="D44" s="14" t="s">
        <v>38</v>
      </c>
      <c r="E44" s="36"/>
    </row>
    <row r="45" spans="1:5" ht="12.75" customHeight="1">
      <c r="A45" s="15" t="s">
        <v>40</v>
      </c>
      <c r="B45" s="16">
        <f>SUM(B47+B51+B58)</f>
        <v>1994207</v>
      </c>
      <c r="C45" s="16">
        <f>SUM(C47+C51+C58)</f>
        <v>959289</v>
      </c>
      <c r="D45" s="17">
        <f>SUM(D47+D51+D58)</f>
        <v>769388</v>
      </c>
      <c r="E45" s="37"/>
    </row>
    <row r="46" spans="1:5" ht="12.75" customHeight="1">
      <c r="A46" s="18"/>
      <c r="B46" s="19"/>
      <c r="C46" s="19"/>
      <c r="D46" s="20"/>
      <c r="E46" s="39"/>
    </row>
    <row r="47" spans="1:5" ht="12.75" customHeight="1">
      <c r="A47" s="15" t="s">
        <v>41</v>
      </c>
      <c r="B47" s="21">
        <f>SUM(B48:B49)</f>
        <v>41886</v>
      </c>
      <c r="C47" s="21">
        <f>SUM(C48:C49)</f>
        <v>19440</v>
      </c>
      <c r="D47" s="22">
        <f>SUM(D48:D49)</f>
        <v>5244</v>
      </c>
      <c r="E47" s="39"/>
    </row>
    <row r="48" spans="1:5" ht="12.75" customHeight="1">
      <c r="A48" s="18" t="s">
        <v>42</v>
      </c>
      <c r="B48" s="19">
        <f>41451+435</f>
        <v>41886</v>
      </c>
      <c r="C48" s="19">
        <v>19440</v>
      </c>
      <c r="D48" s="20">
        <v>5244</v>
      </c>
      <c r="E48" s="39"/>
    </row>
    <row r="49" spans="1:5" ht="12.75" customHeight="1">
      <c r="A49" s="18" t="s">
        <v>43</v>
      </c>
      <c r="B49" s="19">
        <v>0</v>
      </c>
      <c r="C49" s="19">
        <v>0</v>
      </c>
      <c r="D49" s="20">
        <v>0</v>
      </c>
      <c r="E49" s="39"/>
    </row>
    <row r="50" spans="1:5" ht="12.75" customHeight="1">
      <c r="A50" s="18"/>
      <c r="B50" s="19"/>
      <c r="C50" s="19"/>
      <c r="D50" s="20"/>
      <c r="E50" s="39"/>
    </row>
    <row r="51" spans="1:5" ht="12.75" customHeight="1">
      <c r="A51" s="15" t="s">
        <v>45</v>
      </c>
      <c r="B51" s="21">
        <f>SUM(B52:B56)</f>
        <v>1952321</v>
      </c>
      <c r="C51" s="21">
        <f>SUM(C52:C56)</f>
        <v>939849</v>
      </c>
      <c r="D51" s="22">
        <f>SUM(D52:D56)</f>
        <v>764144</v>
      </c>
      <c r="E51" s="39"/>
    </row>
    <row r="52" spans="1:5" ht="12.75" customHeight="1">
      <c r="A52" s="18" t="s">
        <v>46</v>
      </c>
      <c r="B52" s="19">
        <f>253723+33254</f>
        <v>286977</v>
      </c>
      <c r="C52" s="19">
        <v>331082</v>
      </c>
      <c r="D52" s="20">
        <v>188225</v>
      </c>
      <c r="E52" s="39"/>
    </row>
    <row r="53" spans="1:5" ht="12.75" customHeight="1">
      <c r="A53" s="18" t="s">
        <v>47</v>
      </c>
      <c r="B53" s="19">
        <f>22898+1220285+65897</f>
        <v>1309080</v>
      </c>
      <c r="C53" s="19">
        <v>445579</v>
      </c>
      <c r="D53" s="20">
        <v>564891</v>
      </c>
      <c r="E53" s="39"/>
    </row>
    <row r="54" spans="1:5" ht="12.75" customHeight="1">
      <c r="A54" s="18" t="s">
        <v>48</v>
      </c>
      <c r="B54" s="19">
        <v>0</v>
      </c>
      <c r="C54" s="19">
        <v>145336</v>
      </c>
      <c r="D54" s="20">
        <v>0</v>
      </c>
      <c r="E54" s="40"/>
    </row>
    <row r="55" spans="1:5" ht="12.75" customHeight="1">
      <c r="A55" s="18" t="s">
        <v>50</v>
      </c>
      <c r="B55" s="19">
        <f>2289+240149</f>
        <v>242438</v>
      </c>
      <c r="C55" s="19">
        <v>0</v>
      </c>
      <c r="D55" s="20">
        <v>10856</v>
      </c>
      <c r="E55" s="39"/>
    </row>
    <row r="56" spans="1:5" ht="12.75" customHeight="1">
      <c r="A56" s="47" t="s">
        <v>51</v>
      </c>
      <c r="B56" s="19">
        <v>113826</v>
      </c>
      <c r="C56" s="19">
        <v>17852</v>
      </c>
      <c r="D56" s="20">
        <v>172</v>
      </c>
      <c r="E56" s="39"/>
    </row>
    <row r="57" spans="1:5" ht="12.75" customHeight="1">
      <c r="A57" s="18"/>
      <c r="B57" s="19"/>
      <c r="C57" s="19"/>
      <c r="D57" s="20"/>
      <c r="E57" s="39"/>
    </row>
    <row r="58" spans="1:5" ht="12.75" customHeight="1">
      <c r="A58" s="15" t="s">
        <v>52</v>
      </c>
      <c r="B58" s="21"/>
      <c r="C58" s="21">
        <v>0</v>
      </c>
      <c r="D58" s="22">
        <v>0</v>
      </c>
      <c r="E58" s="39"/>
    </row>
    <row r="59" spans="1:5" ht="12.75" customHeight="1">
      <c r="A59" s="28"/>
      <c r="B59" s="19"/>
      <c r="C59" s="19"/>
      <c r="D59" s="20"/>
      <c r="E59" s="39"/>
    </row>
    <row r="60" spans="1:5" ht="12.75" customHeight="1">
      <c r="A60" s="15" t="s">
        <v>53</v>
      </c>
      <c r="B60" s="21">
        <f>SUM(B62+B69+B73+B78)</f>
        <v>1994207</v>
      </c>
      <c r="C60" s="21">
        <f>SUM(C62+C69+C73+C78)</f>
        <v>959289</v>
      </c>
      <c r="D60" s="22">
        <f>SUM(D62+D69+D73+D78)</f>
        <v>769388</v>
      </c>
      <c r="E60" s="39"/>
    </row>
    <row r="61" spans="1:5" ht="12.75" customHeight="1">
      <c r="A61" s="18"/>
      <c r="B61" s="19"/>
      <c r="C61" s="19"/>
      <c r="D61" s="20"/>
      <c r="E61" s="39"/>
    </row>
    <row r="62" spans="1:5" ht="12.75" customHeight="1">
      <c r="A62" s="15" t="s">
        <v>54</v>
      </c>
      <c r="B62" s="21">
        <f>SUM(B63:B67)</f>
        <v>701702</v>
      </c>
      <c r="C62" s="21">
        <f>SUM(C63:C67)</f>
        <v>159141</v>
      </c>
      <c r="D62" s="22">
        <f>SUM(D63:D67)</f>
        <v>32429</v>
      </c>
      <c r="E62" s="39"/>
    </row>
    <row r="63" spans="1:5" ht="12.75" customHeight="1">
      <c r="A63" s="18" t="s">
        <v>55</v>
      </c>
      <c r="B63" s="19">
        <v>242</v>
      </c>
      <c r="C63" s="19">
        <v>17000</v>
      </c>
      <c r="D63" s="20">
        <v>34281</v>
      </c>
      <c r="E63" s="39"/>
    </row>
    <row r="64" spans="1:5" ht="12.75" customHeight="1">
      <c r="A64" s="18" t="s">
        <v>56</v>
      </c>
      <c r="B64" s="19">
        <v>0</v>
      </c>
      <c r="C64" s="19">
        <v>0</v>
      </c>
      <c r="D64" s="20">
        <v>0</v>
      </c>
      <c r="E64" s="39"/>
    </row>
    <row r="65" spans="1:5" ht="12.75" customHeight="1">
      <c r="A65" s="18" t="s">
        <v>57</v>
      </c>
      <c r="B65" s="19">
        <v>701460</v>
      </c>
      <c r="C65" s="19">
        <v>142141</v>
      </c>
      <c r="D65" s="20">
        <v>1681</v>
      </c>
      <c r="E65" s="39"/>
    </row>
    <row r="66" spans="1:5" ht="12.75" customHeight="1">
      <c r="A66" s="18" t="s">
        <v>58</v>
      </c>
      <c r="B66" s="19">
        <v>0</v>
      </c>
      <c r="C66" s="19">
        <v>0</v>
      </c>
      <c r="D66" s="20">
        <v>0</v>
      </c>
      <c r="E66" s="40"/>
    </row>
    <row r="67" spans="1:5" ht="12.75" customHeight="1">
      <c r="A67" s="18" t="s">
        <v>59</v>
      </c>
      <c r="B67" s="23"/>
      <c r="C67" s="19">
        <v>0</v>
      </c>
      <c r="D67" s="48">
        <v>-3533</v>
      </c>
      <c r="E67" s="39"/>
    </row>
    <row r="68" spans="1:5" ht="12.75" customHeight="1">
      <c r="A68" s="18"/>
      <c r="B68" s="19"/>
      <c r="C68" s="19"/>
      <c r="D68" s="20"/>
      <c r="E68" s="39"/>
    </row>
    <row r="69" spans="1:7" ht="12.75" customHeight="1">
      <c r="A69" s="15" t="s">
        <v>60</v>
      </c>
      <c r="B69" s="21">
        <f>SUM(B70:B71)</f>
        <v>0</v>
      </c>
      <c r="C69" s="21">
        <f>SUM(C70:C71)</f>
        <v>0</v>
      </c>
      <c r="D69" s="22">
        <f>SUM(D70:D71)</f>
        <v>0</v>
      </c>
      <c r="E69" s="39"/>
      <c r="G69" s="38"/>
    </row>
    <row r="70" spans="1:5" ht="12.75" customHeight="1">
      <c r="A70" s="26" t="s">
        <v>61</v>
      </c>
      <c r="B70" s="19">
        <v>0</v>
      </c>
      <c r="C70" s="19">
        <v>0</v>
      </c>
      <c r="D70" s="20">
        <v>0</v>
      </c>
      <c r="E70" s="39"/>
    </row>
    <row r="71" spans="1:5" ht="12.75" customHeight="1">
      <c r="A71" s="49" t="s">
        <v>62</v>
      </c>
      <c r="B71" s="19">
        <v>0</v>
      </c>
      <c r="C71" s="19">
        <v>0</v>
      </c>
      <c r="D71" s="20">
        <v>0</v>
      </c>
      <c r="E71" s="39"/>
    </row>
    <row r="72" spans="1:5" ht="12.75" customHeight="1">
      <c r="A72" s="28"/>
      <c r="B72" s="19"/>
      <c r="C72" s="19"/>
      <c r="D72" s="20"/>
      <c r="E72" s="40"/>
    </row>
    <row r="73" spans="1:5" ht="12.75" customHeight="1">
      <c r="A73" s="15" t="s">
        <v>64</v>
      </c>
      <c r="B73" s="21">
        <f>SUM(B74:B76)</f>
        <v>1292505</v>
      </c>
      <c r="C73" s="21">
        <f>SUM(C74:C76)</f>
        <v>800148</v>
      </c>
      <c r="D73" s="22">
        <f>SUM(D74:D76)</f>
        <v>736959</v>
      </c>
      <c r="E73" s="39"/>
    </row>
    <row r="74" spans="1:5" ht="12.75" customHeight="1">
      <c r="A74" s="18" t="s">
        <v>65</v>
      </c>
      <c r="B74" s="19">
        <v>0</v>
      </c>
      <c r="C74" s="19">
        <v>0</v>
      </c>
      <c r="D74" s="20">
        <v>0</v>
      </c>
      <c r="E74" s="40"/>
    </row>
    <row r="75" spans="1:5" ht="12.75" customHeight="1">
      <c r="A75" s="18" t="s">
        <v>66</v>
      </c>
      <c r="B75" s="19">
        <f>1127396+16304+5793</f>
        <v>1149493</v>
      </c>
      <c r="C75" s="19">
        <v>792917</v>
      </c>
      <c r="D75" s="20">
        <v>725697</v>
      </c>
      <c r="E75" s="39"/>
    </row>
    <row r="76" spans="1:5" ht="12.75" customHeight="1">
      <c r="A76" s="18" t="s">
        <v>67</v>
      </c>
      <c r="B76" s="19">
        <f>28476+114536</f>
        <v>143012</v>
      </c>
      <c r="C76" s="19">
        <v>7231</v>
      </c>
      <c r="D76" s="20">
        <v>11262</v>
      </c>
      <c r="E76" s="40"/>
    </row>
    <row r="77" spans="1:5" ht="12.75" customHeight="1">
      <c r="A77" s="18"/>
      <c r="B77" s="19"/>
      <c r="C77" s="19"/>
      <c r="D77" s="20"/>
      <c r="E77" s="40"/>
    </row>
    <row r="78" spans="1:5" ht="12.75" customHeight="1">
      <c r="A78" s="29" t="s">
        <v>68</v>
      </c>
      <c r="B78" s="30">
        <v>0</v>
      </c>
      <c r="C78" s="30">
        <v>0</v>
      </c>
      <c r="D78" s="50">
        <v>0</v>
      </c>
      <c r="E78" s="40"/>
    </row>
  </sheetData>
  <sheetProtection selectLockedCells="1" selectUnlockedCells="1"/>
  <mergeCells count="3">
    <mergeCell ref="A1:H1"/>
    <mergeCell ref="A2:H2"/>
    <mergeCell ref="A42:H42"/>
  </mergeCells>
  <printOptions/>
  <pageMargins left="0.6701388888888888" right="0.32013888888888886" top="0.4" bottom="0.3902777777777778" header="0.5118055555555555" footer="0.5118055555555555"/>
  <pageSetup horizontalDpi="300" verticalDpi="300" orientation="landscape" paperSize="9"/>
  <rowBreaks count="1" manualBreakCount="1"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84"/>
  <sheetViews>
    <sheetView workbookViewId="0" topLeftCell="A5">
      <selection activeCell="A7" sqref="A7"/>
    </sheetView>
  </sheetViews>
  <sheetFormatPr defaultColWidth="9.140625" defaultRowHeight="12.75"/>
  <cols>
    <col min="1" max="1" width="37.7109375" style="1" customWidth="1"/>
    <col min="2" max="2" width="11.421875" style="1" customWidth="1"/>
    <col min="3" max="3" width="9.7109375" style="1" customWidth="1"/>
    <col min="4" max="4" width="9.57421875" style="1" customWidth="1"/>
    <col min="5" max="5" width="9.28125" style="1" customWidth="1"/>
    <col min="6" max="6" width="9.57421875" style="1" customWidth="1"/>
    <col min="7" max="7" width="9.421875" style="1" customWidth="1"/>
    <col min="8" max="8" width="9.57421875" style="1" customWidth="1"/>
    <col min="9" max="9" width="8.421875" style="1" customWidth="1"/>
    <col min="10" max="10" width="12.28125" style="1" customWidth="1"/>
    <col min="11" max="11" width="10.7109375" style="1" customWidth="1"/>
    <col min="12" max="16384" width="9.140625" style="1" customWidth="1"/>
  </cols>
  <sheetData>
    <row r="1" spans="1:11" ht="14.25" customHeight="1">
      <c r="A1" s="2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6.5" customHeight="1">
      <c r="A2" s="6"/>
      <c r="B2" s="6"/>
      <c r="C2" s="7"/>
      <c r="D2" s="34"/>
      <c r="E2" s="9"/>
      <c r="F2" s="9"/>
      <c r="G2" s="9"/>
      <c r="H2" s="9"/>
      <c r="I2" s="9"/>
      <c r="K2" s="10" t="s">
        <v>1</v>
      </c>
    </row>
    <row r="3" spans="1:11" ht="16.5" customHeight="1">
      <c r="A3" s="11"/>
      <c r="B3" s="12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4" t="s">
        <v>11</v>
      </c>
    </row>
    <row r="4" spans="1:11" ht="12.75" customHeight="1">
      <c r="A4" s="15" t="s">
        <v>71</v>
      </c>
      <c r="B4" s="51"/>
      <c r="C4" s="51"/>
      <c r="D4" s="51"/>
      <c r="E4" s="51"/>
      <c r="F4" s="51"/>
      <c r="G4" s="51"/>
      <c r="H4" s="51"/>
      <c r="I4" s="51"/>
      <c r="J4" s="51"/>
      <c r="K4" s="52"/>
    </row>
    <row r="5" spans="1:11" ht="12.75" customHeight="1">
      <c r="A5" s="18" t="s">
        <v>72</v>
      </c>
      <c r="B5" s="19">
        <v>705941</v>
      </c>
      <c r="C5" s="19">
        <v>1635656</v>
      </c>
      <c r="D5" s="19">
        <v>133144</v>
      </c>
      <c r="E5" s="19">
        <v>191627</v>
      </c>
      <c r="F5" s="19">
        <v>209695</v>
      </c>
      <c r="G5" s="19">
        <v>512645</v>
      </c>
      <c r="H5" s="19">
        <v>216882</v>
      </c>
      <c r="I5" s="19">
        <v>26764</v>
      </c>
      <c r="J5" s="19">
        <v>490923</v>
      </c>
      <c r="K5" s="20">
        <v>421758</v>
      </c>
    </row>
    <row r="6" spans="1:11" ht="12.75" customHeight="1">
      <c r="A6" s="18" t="s">
        <v>73</v>
      </c>
      <c r="B6" s="19"/>
      <c r="C6" s="19"/>
      <c r="D6" s="19"/>
      <c r="E6" s="19"/>
      <c r="F6" s="19"/>
      <c r="G6" s="19"/>
      <c r="H6" s="19"/>
      <c r="I6" s="19"/>
      <c r="J6" s="19">
        <v>3135</v>
      </c>
      <c r="K6" s="20">
        <v>75</v>
      </c>
    </row>
    <row r="7" spans="1:11" ht="12.75" customHeight="1">
      <c r="A7" s="18" t="s">
        <v>74</v>
      </c>
      <c r="B7" s="19">
        <v>4549</v>
      </c>
      <c r="C7" s="19">
        <v>61132</v>
      </c>
      <c r="D7" s="19">
        <v>9611</v>
      </c>
      <c r="E7" s="19">
        <v>42</v>
      </c>
      <c r="F7" s="19">
        <v>9907</v>
      </c>
      <c r="G7" s="19">
        <v>195</v>
      </c>
      <c r="H7" s="19">
        <v>49</v>
      </c>
      <c r="I7" s="19">
        <v>608</v>
      </c>
      <c r="J7" s="19">
        <v>19191</v>
      </c>
      <c r="K7" s="20">
        <v>27216</v>
      </c>
    </row>
    <row r="8" spans="1:11" ht="12.75" customHeight="1">
      <c r="A8" s="18" t="s">
        <v>75</v>
      </c>
      <c r="B8" s="23">
        <v>-246955</v>
      </c>
      <c r="C8" s="23">
        <v>-1331878</v>
      </c>
      <c r="D8" s="23">
        <v>-123367</v>
      </c>
      <c r="E8" s="23">
        <v>-177352</v>
      </c>
      <c r="F8" s="23">
        <v>-202685</v>
      </c>
      <c r="G8" s="23">
        <v>-434183</v>
      </c>
      <c r="H8" s="23">
        <v>-165733</v>
      </c>
      <c r="I8" s="23">
        <v>-18790</v>
      </c>
      <c r="J8" s="23">
        <v>-444717</v>
      </c>
      <c r="K8" s="48">
        <v>-364613</v>
      </c>
    </row>
    <row r="9" spans="1:11" ht="12.75" customHeight="1">
      <c r="A9" s="18" t="s">
        <v>76</v>
      </c>
      <c r="B9" s="23">
        <v>-99547</v>
      </c>
      <c r="C9" s="23">
        <v>-273469</v>
      </c>
      <c r="D9" s="23">
        <v>-17219</v>
      </c>
      <c r="E9" s="23">
        <v>-27249</v>
      </c>
      <c r="F9" s="23">
        <v>-29086</v>
      </c>
      <c r="G9" s="23">
        <v>-48370</v>
      </c>
      <c r="H9" s="23">
        <v>-11346</v>
      </c>
      <c r="I9" s="23">
        <v>-7809</v>
      </c>
      <c r="J9" s="23">
        <v>-38120</v>
      </c>
      <c r="K9" s="48">
        <v>-54082</v>
      </c>
    </row>
    <row r="10" spans="1:11" ht="12.75" customHeight="1">
      <c r="A10" s="18" t="s">
        <v>77</v>
      </c>
      <c r="B10" s="23">
        <v>-15104</v>
      </c>
      <c r="C10" s="23">
        <v>-22543</v>
      </c>
      <c r="D10" s="23">
        <v>-3243</v>
      </c>
      <c r="E10" s="23">
        <v>-851</v>
      </c>
      <c r="F10" s="23">
        <v>-3189</v>
      </c>
      <c r="G10" s="23">
        <v>-1251</v>
      </c>
      <c r="H10" s="23">
        <v>-1741</v>
      </c>
      <c r="I10" s="23">
        <v>-188</v>
      </c>
      <c r="J10" s="23">
        <v>-920</v>
      </c>
      <c r="K10" s="48">
        <v>-1433</v>
      </c>
    </row>
    <row r="11" spans="1:11" ht="12.75" customHeight="1">
      <c r="A11" s="18" t="s">
        <v>78</v>
      </c>
      <c r="B11" s="23">
        <v>-6151</v>
      </c>
      <c r="C11" s="23">
        <v>-3804</v>
      </c>
      <c r="D11" s="23"/>
      <c r="E11" s="23">
        <v>-274</v>
      </c>
      <c r="F11" s="23"/>
      <c r="G11" s="23"/>
      <c r="H11" s="23">
        <v>-2637</v>
      </c>
      <c r="I11" s="23"/>
      <c r="J11" s="23">
        <v>-2247</v>
      </c>
      <c r="K11" s="48"/>
    </row>
    <row r="12" spans="1:11" ht="12.75" customHeight="1">
      <c r="A12" s="18" t="s">
        <v>79</v>
      </c>
      <c r="B12" s="23">
        <v>-70807</v>
      </c>
      <c r="C12" s="23">
        <v>-2887</v>
      </c>
      <c r="D12" s="23">
        <v>-2980</v>
      </c>
      <c r="E12" s="23">
        <v>-5537</v>
      </c>
      <c r="F12" s="23">
        <v>-9358</v>
      </c>
      <c r="G12" s="23">
        <v>-19090</v>
      </c>
      <c r="H12" s="23">
        <v>-6629</v>
      </c>
      <c r="I12" s="23">
        <v>-647</v>
      </c>
      <c r="J12" s="23">
        <v>-8326</v>
      </c>
      <c r="K12" s="48">
        <v>-12288</v>
      </c>
    </row>
    <row r="13" spans="1:11" ht="12.75" customHeight="1">
      <c r="A13" s="28"/>
      <c r="B13" s="19"/>
      <c r="C13" s="19"/>
      <c r="D13" s="19"/>
      <c r="E13" s="19"/>
      <c r="F13" s="19"/>
      <c r="G13" s="19"/>
      <c r="H13" s="19"/>
      <c r="I13" s="19"/>
      <c r="J13" s="19"/>
      <c r="K13" s="20"/>
    </row>
    <row r="14" spans="1:11" ht="12.75" customHeight="1">
      <c r="A14" s="15" t="s">
        <v>80</v>
      </c>
      <c r="B14" s="21">
        <f aca="true" t="shared" si="0" ref="B14:K14">SUM(B4:B13)</f>
        <v>271926</v>
      </c>
      <c r="C14" s="53">
        <f t="shared" si="0"/>
        <v>62207</v>
      </c>
      <c r="D14" s="53">
        <f t="shared" si="0"/>
        <v>-4054</v>
      </c>
      <c r="E14" s="53">
        <f t="shared" si="0"/>
        <v>-19594</v>
      </c>
      <c r="F14" s="24">
        <f t="shared" si="0"/>
        <v>-24716</v>
      </c>
      <c r="G14" s="24">
        <f t="shared" si="0"/>
        <v>9946</v>
      </c>
      <c r="H14" s="21">
        <f t="shared" si="0"/>
        <v>28845</v>
      </c>
      <c r="I14" s="53">
        <f t="shared" si="0"/>
        <v>-62</v>
      </c>
      <c r="J14" s="21">
        <f t="shared" si="0"/>
        <v>18919</v>
      </c>
      <c r="K14" s="25">
        <f t="shared" si="0"/>
        <v>16633</v>
      </c>
    </row>
    <row r="15" spans="1:11" ht="12.75" customHeight="1">
      <c r="A15" s="28"/>
      <c r="B15" s="19"/>
      <c r="C15" s="19"/>
      <c r="D15" s="19"/>
      <c r="E15" s="19"/>
      <c r="F15" s="19"/>
      <c r="G15" s="19"/>
      <c r="H15" s="19"/>
      <c r="I15" s="19"/>
      <c r="J15" s="19"/>
      <c r="K15" s="20"/>
    </row>
    <row r="16" spans="1:11" ht="12.75" customHeight="1">
      <c r="A16" s="15" t="s">
        <v>81</v>
      </c>
      <c r="B16" s="19"/>
      <c r="C16" s="19"/>
      <c r="D16" s="19"/>
      <c r="E16" s="19"/>
      <c r="F16" s="19"/>
      <c r="G16" s="19"/>
      <c r="H16" s="19"/>
      <c r="I16" s="19"/>
      <c r="J16" s="19"/>
      <c r="K16" s="20"/>
    </row>
    <row r="17" spans="1:11" ht="12.75" customHeight="1">
      <c r="A17" s="18" t="s">
        <v>82</v>
      </c>
      <c r="B17" s="19"/>
      <c r="C17" s="19"/>
      <c r="D17" s="19"/>
      <c r="E17" s="19"/>
      <c r="F17" s="19"/>
      <c r="G17" s="19"/>
      <c r="H17" s="19"/>
      <c r="I17" s="19"/>
      <c r="J17" s="19"/>
      <c r="K17" s="20"/>
    </row>
    <row r="18" spans="1:11" ht="12.75" customHeight="1">
      <c r="A18" s="18" t="s">
        <v>83</v>
      </c>
      <c r="B18" s="19"/>
      <c r="C18" s="19"/>
      <c r="D18" s="19"/>
      <c r="E18" s="19"/>
      <c r="F18" s="19"/>
      <c r="G18" s="19"/>
      <c r="H18" s="19"/>
      <c r="I18" s="19"/>
      <c r="J18" s="19">
        <v>86</v>
      </c>
      <c r="K18" s="20">
        <v>9778</v>
      </c>
    </row>
    <row r="19" spans="1:11" ht="12.75" customHeight="1">
      <c r="A19" s="18" t="s">
        <v>84</v>
      </c>
      <c r="B19" s="23">
        <v>72058</v>
      </c>
      <c r="C19" s="19">
        <v>3972</v>
      </c>
      <c r="D19" s="19"/>
      <c r="E19" s="19"/>
      <c r="F19" s="19"/>
      <c r="G19" s="19"/>
      <c r="H19" s="19"/>
      <c r="I19" s="19"/>
      <c r="J19" s="23">
        <v>-36530</v>
      </c>
      <c r="K19" s="20"/>
    </row>
    <row r="20" spans="1:11" ht="12.75" customHeight="1">
      <c r="A20" s="18" t="s">
        <v>85</v>
      </c>
      <c r="B20" s="19">
        <v>19674</v>
      </c>
      <c r="C20" s="19">
        <v>11038</v>
      </c>
      <c r="D20" s="19">
        <v>12</v>
      </c>
      <c r="E20" s="19">
        <v>9</v>
      </c>
      <c r="F20" s="19">
        <v>443</v>
      </c>
      <c r="G20" s="19">
        <v>129</v>
      </c>
      <c r="H20" s="19">
        <v>150</v>
      </c>
      <c r="I20" s="19"/>
      <c r="J20" s="19"/>
      <c r="K20" s="20"/>
    </row>
    <row r="21" spans="1:11" ht="12.75" customHeight="1">
      <c r="A21" s="18" t="s">
        <v>86</v>
      </c>
      <c r="B21" s="19">
        <v>108431</v>
      </c>
      <c r="C21" s="19"/>
      <c r="D21" s="19"/>
      <c r="E21" s="19"/>
      <c r="F21" s="19"/>
      <c r="G21" s="19"/>
      <c r="H21" s="19"/>
      <c r="I21" s="19"/>
      <c r="J21" s="19"/>
      <c r="K21" s="20"/>
    </row>
    <row r="22" spans="1:11" ht="12.75" customHeight="1">
      <c r="A22" s="18" t="s">
        <v>87</v>
      </c>
      <c r="B22" s="23">
        <v>-78275</v>
      </c>
      <c r="C22" s="19"/>
      <c r="D22" s="19"/>
      <c r="E22" s="19"/>
      <c r="F22" s="19"/>
      <c r="G22" s="19"/>
      <c r="H22" s="19"/>
      <c r="I22" s="19"/>
      <c r="J22" s="19"/>
      <c r="K22" s="20"/>
    </row>
    <row r="23" spans="1:11" ht="12.75" customHeight="1">
      <c r="A23" s="18" t="s">
        <v>88</v>
      </c>
      <c r="B23" s="23">
        <v>-16868</v>
      </c>
      <c r="C23" s="23">
        <v>-3668</v>
      </c>
      <c r="D23" s="23">
        <v>-4109</v>
      </c>
      <c r="E23" s="23">
        <v>-124</v>
      </c>
      <c r="F23" s="23">
        <v>-6146</v>
      </c>
      <c r="G23" s="23">
        <v>-367</v>
      </c>
      <c r="H23" s="23">
        <v>-35</v>
      </c>
      <c r="I23" s="23"/>
      <c r="J23" s="23">
        <v>-7319</v>
      </c>
      <c r="K23" s="48">
        <v>-1288</v>
      </c>
    </row>
    <row r="24" spans="1:11" ht="12.75" customHeight="1">
      <c r="A24" s="18" t="s">
        <v>89</v>
      </c>
      <c r="B24" s="23"/>
      <c r="C24" s="19"/>
      <c r="D24" s="19"/>
      <c r="E24" s="19"/>
      <c r="F24" s="19"/>
      <c r="G24" s="19"/>
      <c r="H24" s="19"/>
      <c r="I24" s="19"/>
      <c r="J24" s="19"/>
      <c r="K24" s="48">
        <v>2205</v>
      </c>
    </row>
    <row r="25" spans="1:11" ht="12.75" customHeight="1">
      <c r="A25" s="28"/>
      <c r="B25" s="19"/>
      <c r="C25" s="19"/>
      <c r="D25" s="19"/>
      <c r="E25" s="19"/>
      <c r="F25" s="19"/>
      <c r="G25" s="19"/>
      <c r="H25" s="19"/>
      <c r="I25" s="19"/>
      <c r="J25" s="19"/>
      <c r="K25" s="20"/>
    </row>
    <row r="26" spans="1:11" ht="12.75" customHeight="1">
      <c r="A26" s="15" t="s">
        <v>90</v>
      </c>
      <c r="B26" s="53">
        <f aca="true" t="shared" si="1" ref="B26:I26">SUM(B16:B25)</f>
        <v>105020</v>
      </c>
      <c r="C26" s="54">
        <f t="shared" si="1"/>
        <v>11342</v>
      </c>
      <c r="D26" s="24">
        <f t="shared" si="1"/>
        <v>-4097</v>
      </c>
      <c r="E26" s="53">
        <f t="shared" si="1"/>
        <v>-115</v>
      </c>
      <c r="F26" s="54">
        <f t="shared" si="1"/>
        <v>-5703</v>
      </c>
      <c r="G26" s="54">
        <f t="shared" si="1"/>
        <v>-238</v>
      </c>
      <c r="H26" s="24">
        <f t="shared" si="1"/>
        <v>115</v>
      </c>
      <c r="I26" s="24">
        <f t="shared" si="1"/>
        <v>0</v>
      </c>
      <c r="J26" s="54">
        <f>SUM(J17:J25)</f>
        <v>-43763</v>
      </c>
      <c r="K26" s="25">
        <f>SUM(K17:K24)</f>
        <v>10695</v>
      </c>
    </row>
    <row r="27" spans="1:11" ht="12.75" customHeight="1">
      <c r="A27" s="28"/>
      <c r="B27" s="19"/>
      <c r="C27" s="19"/>
      <c r="D27" s="19"/>
      <c r="E27" s="19"/>
      <c r="F27" s="19"/>
      <c r="G27" s="19"/>
      <c r="H27" s="19"/>
      <c r="I27" s="19"/>
      <c r="J27" s="19"/>
      <c r="K27" s="20"/>
    </row>
    <row r="28" spans="1:11" ht="12.75" customHeight="1">
      <c r="A28" s="15" t="s">
        <v>91</v>
      </c>
      <c r="B28" s="19"/>
      <c r="C28" s="19"/>
      <c r="D28" s="19"/>
      <c r="E28" s="19"/>
      <c r="F28" s="19"/>
      <c r="G28" s="19"/>
      <c r="H28" s="19"/>
      <c r="I28" s="19"/>
      <c r="J28" s="19"/>
      <c r="K28" s="20"/>
    </row>
    <row r="29" spans="1:11" ht="12.75" customHeight="1">
      <c r="A29" s="18" t="s">
        <v>92</v>
      </c>
      <c r="B29" s="19"/>
      <c r="C29" s="19"/>
      <c r="D29" s="19"/>
      <c r="E29" s="19"/>
      <c r="F29" s="19">
        <v>72641</v>
      </c>
      <c r="G29" s="19"/>
      <c r="H29" s="19"/>
      <c r="I29" s="19"/>
      <c r="J29" s="19"/>
      <c r="K29" s="20"/>
    </row>
    <row r="30" spans="1:11" ht="12.75" customHeight="1">
      <c r="A30" s="18" t="s">
        <v>93</v>
      </c>
      <c r="B30" s="23">
        <v>-271784</v>
      </c>
      <c r="C30" s="23">
        <v>112229</v>
      </c>
      <c r="D30" s="23">
        <v>-2497</v>
      </c>
      <c r="E30" s="23">
        <v>18944</v>
      </c>
      <c r="F30" s="23">
        <v>-33096</v>
      </c>
      <c r="G30" s="23">
        <v>-4241</v>
      </c>
      <c r="H30" s="23">
        <v>-136</v>
      </c>
      <c r="I30" s="23">
        <v>1072</v>
      </c>
      <c r="J30" s="23"/>
      <c r="K30" s="48">
        <v>-25460</v>
      </c>
    </row>
    <row r="31" spans="1:11" ht="12.75" customHeight="1">
      <c r="A31" s="18" t="s">
        <v>94</v>
      </c>
      <c r="B31" s="23">
        <v>-101328</v>
      </c>
      <c r="C31" s="23">
        <v>-119331</v>
      </c>
      <c r="D31" s="23"/>
      <c r="E31" s="23">
        <v>-599</v>
      </c>
      <c r="F31" s="19"/>
      <c r="G31" s="23">
        <v>-1125</v>
      </c>
      <c r="H31" s="23">
        <v>-2416</v>
      </c>
      <c r="I31" s="23"/>
      <c r="J31" s="23">
        <v>-1000</v>
      </c>
      <c r="K31" s="20"/>
    </row>
    <row r="32" spans="1:11" ht="12.75" customHeight="1">
      <c r="A32" s="18" t="s">
        <v>95</v>
      </c>
      <c r="B32" s="19" t="s">
        <v>96</v>
      </c>
      <c r="C32" s="19"/>
      <c r="D32" s="19"/>
      <c r="E32" s="19"/>
      <c r="F32" s="19"/>
      <c r="G32" s="23"/>
      <c r="H32" s="23"/>
      <c r="I32" s="23"/>
      <c r="J32" s="23">
        <v>-1020</v>
      </c>
      <c r="K32" s="20"/>
    </row>
    <row r="33" spans="1:11" ht="12.75" customHeight="1">
      <c r="A33" s="28"/>
      <c r="B33" s="19"/>
      <c r="C33" s="19"/>
      <c r="D33" s="19"/>
      <c r="E33" s="19"/>
      <c r="F33" s="19"/>
      <c r="G33" s="19"/>
      <c r="H33" s="19"/>
      <c r="I33" s="19"/>
      <c r="J33" s="19"/>
      <c r="K33" s="20"/>
    </row>
    <row r="34" spans="1:11" ht="12.75" customHeight="1">
      <c r="A34" s="15" t="s">
        <v>97</v>
      </c>
      <c r="B34" s="24">
        <f>SUM(B29:B32)</f>
        <v>-373112</v>
      </c>
      <c r="C34" s="24">
        <f aca="true" t="shared" si="2" ref="C34:K34">SUM(C29:C32)</f>
        <v>-7102</v>
      </c>
      <c r="D34" s="24">
        <f t="shared" si="2"/>
        <v>-2497</v>
      </c>
      <c r="E34" s="24">
        <f t="shared" si="2"/>
        <v>18345</v>
      </c>
      <c r="F34" s="24">
        <f t="shared" si="2"/>
        <v>39545</v>
      </c>
      <c r="G34" s="24">
        <f t="shared" si="2"/>
        <v>-5366</v>
      </c>
      <c r="H34" s="24">
        <f t="shared" si="2"/>
        <v>-2552</v>
      </c>
      <c r="I34" s="24">
        <f t="shared" si="2"/>
        <v>1072</v>
      </c>
      <c r="J34" s="24">
        <f t="shared" si="2"/>
        <v>-2020</v>
      </c>
      <c r="K34" s="25">
        <f t="shared" si="2"/>
        <v>-25460</v>
      </c>
    </row>
    <row r="35" spans="1:11" ht="12.75" customHeight="1">
      <c r="A35" s="28"/>
      <c r="B35" s="19"/>
      <c r="C35" s="19"/>
      <c r="D35" s="19"/>
      <c r="E35" s="19"/>
      <c r="F35" s="19"/>
      <c r="G35" s="19"/>
      <c r="H35" s="19"/>
      <c r="I35" s="19"/>
      <c r="J35" s="19"/>
      <c r="K35" s="20"/>
    </row>
    <row r="36" spans="1:11" ht="12.75" customHeight="1">
      <c r="A36" s="15" t="s">
        <v>98</v>
      </c>
      <c r="B36" s="24">
        <f aca="true" t="shared" si="3" ref="B36:K36">SUM(B14+(B26+B34))</f>
        <v>3834</v>
      </c>
      <c r="C36" s="24">
        <f t="shared" si="3"/>
        <v>66447</v>
      </c>
      <c r="D36" s="24">
        <f>(D14+(D26+D34))</f>
        <v>-10648</v>
      </c>
      <c r="E36" s="24">
        <f t="shared" si="3"/>
        <v>-1364</v>
      </c>
      <c r="F36" s="24">
        <f t="shared" si="3"/>
        <v>9126</v>
      </c>
      <c r="G36" s="24">
        <f t="shared" si="3"/>
        <v>4342</v>
      </c>
      <c r="H36" s="21">
        <f t="shared" si="3"/>
        <v>26408</v>
      </c>
      <c r="I36" s="21">
        <f t="shared" si="3"/>
        <v>1010</v>
      </c>
      <c r="J36" s="24">
        <f t="shared" si="3"/>
        <v>-26864</v>
      </c>
      <c r="K36" s="25">
        <f t="shared" si="3"/>
        <v>1868</v>
      </c>
    </row>
    <row r="37" spans="1:11" ht="12.75" customHeight="1">
      <c r="A37" s="15"/>
      <c r="B37" s="19"/>
      <c r="C37" s="19"/>
      <c r="D37" s="19"/>
      <c r="E37" s="19"/>
      <c r="F37" s="55"/>
      <c r="G37" s="19"/>
      <c r="H37" s="19"/>
      <c r="I37" s="19"/>
      <c r="J37" s="19"/>
      <c r="K37" s="20"/>
    </row>
    <row r="38" spans="1:11" ht="12.75" customHeight="1">
      <c r="A38" s="15" t="s">
        <v>99</v>
      </c>
      <c r="B38" s="21">
        <v>6966</v>
      </c>
      <c r="C38" s="21">
        <v>421925</v>
      </c>
      <c r="D38" s="21">
        <v>25426</v>
      </c>
      <c r="E38" s="21">
        <v>2064</v>
      </c>
      <c r="F38" s="21">
        <v>24161</v>
      </c>
      <c r="G38" s="21">
        <v>22966</v>
      </c>
      <c r="H38" s="21">
        <v>3434</v>
      </c>
      <c r="I38" s="21">
        <v>633</v>
      </c>
      <c r="J38" s="21">
        <v>74275</v>
      </c>
      <c r="K38" s="22">
        <v>15677</v>
      </c>
    </row>
    <row r="39" spans="1:11" ht="12.75" customHeight="1">
      <c r="A39" s="15"/>
      <c r="B39" s="21"/>
      <c r="C39" s="21"/>
      <c r="D39" s="21"/>
      <c r="E39" s="21"/>
      <c r="F39" s="21"/>
      <c r="G39" s="21"/>
      <c r="H39" s="21"/>
      <c r="I39" s="21"/>
      <c r="J39" s="21"/>
      <c r="K39" s="22"/>
    </row>
    <row r="40" spans="1:11" ht="12.75" customHeight="1">
      <c r="A40" s="15" t="s">
        <v>100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2">
        <v>0</v>
      </c>
    </row>
    <row r="41" spans="1:11" ht="12.75" customHeight="1">
      <c r="A41" s="15"/>
      <c r="B41" s="21"/>
      <c r="C41" s="21"/>
      <c r="D41" s="21"/>
      <c r="E41" s="56"/>
      <c r="F41" s="56"/>
      <c r="G41" s="21"/>
      <c r="H41" s="21"/>
      <c r="I41" s="21"/>
      <c r="J41" s="21"/>
      <c r="K41" s="22"/>
    </row>
    <row r="42" spans="1:11" ht="12.75" customHeight="1">
      <c r="A42" s="29" t="s">
        <v>101</v>
      </c>
      <c r="B42" s="30">
        <f>SUM(B36+B38+B40)</f>
        <v>10800</v>
      </c>
      <c r="C42" s="30">
        <f>SUM(C36+C38+C40)</f>
        <v>488372</v>
      </c>
      <c r="D42" s="30">
        <f aca="true" t="shared" si="4" ref="D42:K42">SUM(D36+D38+D40)</f>
        <v>14778</v>
      </c>
      <c r="E42" s="30">
        <f t="shared" si="4"/>
        <v>700</v>
      </c>
      <c r="F42" s="30">
        <f t="shared" si="4"/>
        <v>33287</v>
      </c>
      <c r="G42" s="30">
        <f t="shared" si="4"/>
        <v>27308</v>
      </c>
      <c r="H42" s="30">
        <f t="shared" si="4"/>
        <v>29842</v>
      </c>
      <c r="I42" s="30">
        <f t="shared" si="4"/>
        <v>1643</v>
      </c>
      <c r="J42" s="30">
        <f t="shared" si="4"/>
        <v>47411</v>
      </c>
      <c r="K42" s="50">
        <f t="shared" si="4"/>
        <v>17545</v>
      </c>
    </row>
    <row r="43" spans="1:9" ht="16.5" customHeight="1">
      <c r="A43" s="2" t="s">
        <v>102</v>
      </c>
      <c r="B43" s="2"/>
      <c r="C43" s="2"/>
      <c r="D43" s="2"/>
      <c r="E43" s="2"/>
      <c r="F43" s="2"/>
      <c r="G43" s="2"/>
      <c r="H43" s="2"/>
      <c r="I43" s="3"/>
    </row>
    <row r="44" spans="1:4" ht="15.75">
      <c r="A44" s="6"/>
      <c r="B44" s="6"/>
      <c r="C44" s="7"/>
      <c r="D44" s="57" t="s">
        <v>35</v>
      </c>
    </row>
    <row r="45" spans="1:4" ht="21">
      <c r="A45" s="11"/>
      <c r="B45" s="35" t="s">
        <v>36</v>
      </c>
      <c r="C45" s="13" t="s">
        <v>37</v>
      </c>
      <c r="D45" s="14" t="s">
        <v>38</v>
      </c>
    </row>
    <row r="46" spans="1:4" ht="12.75" customHeight="1">
      <c r="A46" s="15" t="s">
        <v>71</v>
      </c>
      <c r="B46" s="51"/>
      <c r="C46" s="51"/>
      <c r="D46" s="52"/>
    </row>
    <row r="47" spans="1:4" ht="12.75" customHeight="1">
      <c r="A47" s="18" t="s">
        <v>72</v>
      </c>
      <c r="B47" s="23">
        <v>5497766</v>
      </c>
      <c r="C47" s="23">
        <v>1525492</v>
      </c>
      <c r="D47" s="48">
        <v>872932</v>
      </c>
    </row>
    <row r="48" spans="1:4" ht="12.75" customHeight="1">
      <c r="A48" s="18" t="s">
        <v>73</v>
      </c>
      <c r="B48" s="23"/>
      <c r="C48" s="23"/>
      <c r="D48" s="48"/>
    </row>
    <row r="49" spans="1:4" ht="12.75" customHeight="1">
      <c r="A49" s="18" t="s">
        <v>74</v>
      </c>
      <c r="B49" s="23">
        <v>2567</v>
      </c>
      <c r="C49" s="23"/>
      <c r="D49" s="48"/>
    </row>
    <row r="50" spans="1:4" ht="12.75" customHeight="1">
      <c r="A50" s="18" t="s">
        <v>75</v>
      </c>
      <c r="B50" s="23">
        <v>-4044092</v>
      </c>
      <c r="C50" s="23">
        <v>-1403032</v>
      </c>
      <c r="D50" s="48">
        <v>-820948</v>
      </c>
    </row>
    <row r="51" spans="1:4" ht="12.75" customHeight="1">
      <c r="A51" s="18" t="s">
        <v>76</v>
      </c>
      <c r="B51" s="23">
        <v>-443834</v>
      </c>
      <c r="C51" s="23">
        <v>-105320</v>
      </c>
      <c r="D51" s="48">
        <v>-72412</v>
      </c>
    </row>
    <row r="52" spans="1:4" ht="12.75" customHeight="1">
      <c r="A52" s="18" t="s">
        <v>77</v>
      </c>
      <c r="B52" s="23"/>
      <c r="C52" s="23"/>
      <c r="D52" s="48">
        <v>-240</v>
      </c>
    </row>
    <row r="53" spans="1:4" ht="12.75" customHeight="1">
      <c r="A53" s="18" t="s">
        <v>78</v>
      </c>
      <c r="B53" s="23">
        <v>-10165</v>
      </c>
      <c r="C53" s="23">
        <v>-2886</v>
      </c>
      <c r="D53" s="48">
        <v>-17094</v>
      </c>
    </row>
    <row r="54" spans="1:4" ht="12.75" customHeight="1">
      <c r="A54" s="18" t="s">
        <v>79</v>
      </c>
      <c r="B54" s="23">
        <v>-882011</v>
      </c>
      <c r="C54" s="23">
        <v>-26567</v>
      </c>
      <c r="D54" s="48">
        <v>-1653</v>
      </c>
    </row>
    <row r="55" spans="1:4" ht="12.75" customHeight="1">
      <c r="A55" s="28"/>
      <c r="B55" s="23"/>
      <c r="C55" s="23"/>
      <c r="D55" s="48"/>
    </row>
    <row r="56" spans="1:4" ht="12.75" customHeight="1">
      <c r="A56" s="15" t="s">
        <v>80</v>
      </c>
      <c r="B56" s="24">
        <f>SUM(B47:B54)</f>
        <v>120231</v>
      </c>
      <c r="C56" s="24">
        <f>SUM(C46:C55)</f>
        <v>-12313</v>
      </c>
      <c r="D56" s="25">
        <f>SUM(D46:D55)</f>
        <v>-39415</v>
      </c>
    </row>
    <row r="57" spans="1:4" ht="12.75" customHeight="1">
      <c r="A57" s="28"/>
      <c r="B57" s="23"/>
      <c r="C57" s="23"/>
      <c r="D57" s="48"/>
    </row>
    <row r="58" spans="1:4" ht="12.75" customHeight="1">
      <c r="A58" s="15" t="s">
        <v>81</v>
      </c>
      <c r="B58" s="23"/>
      <c r="C58" s="23"/>
      <c r="D58" s="48"/>
    </row>
    <row r="59" spans="1:4" ht="12.75" customHeight="1">
      <c r="A59" s="18" t="s">
        <v>82</v>
      </c>
      <c r="B59" s="23"/>
      <c r="C59" s="23"/>
      <c r="D59" s="48"/>
    </row>
    <row r="60" spans="1:4" ht="12.75" customHeight="1">
      <c r="A60" s="18" t="s">
        <v>83</v>
      </c>
      <c r="B60" s="23"/>
      <c r="C60" s="23"/>
      <c r="D60" s="48">
        <v>65</v>
      </c>
    </row>
    <row r="61" spans="1:4" ht="12.75" customHeight="1">
      <c r="A61" s="18" t="s">
        <v>84</v>
      </c>
      <c r="B61" s="23"/>
      <c r="C61" s="23"/>
      <c r="D61" s="48"/>
    </row>
    <row r="62" spans="1:4" ht="12.75" customHeight="1">
      <c r="A62" s="18" t="s">
        <v>85</v>
      </c>
      <c r="B62" s="23"/>
      <c r="C62" s="23"/>
      <c r="D62" s="48"/>
    </row>
    <row r="63" spans="1:4" ht="12.75" customHeight="1">
      <c r="A63" s="18" t="s">
        <v>86</v>
      </c>
      <c r="B63" s="23"/>
      <c r="C63" s="23"/>
      <c r="D63" s="48"/>
    </row>
    <row r="64" spans="1:4" ht="12.75" customHeight="1">
      <c r="A64" s="18" t="s">
        <v>87</v>
      </c>
      <c r="B64" s="23"/>
      <c r="C64" s="23"/>
      <c r="D64" s="48"/>
    </row>
    <row r="65" spans="1:4" ht="12.75" customHeight="1">
      <c r="A65" s="18" t="s">
        <v>88</v>
      </c>
      <c r="B65" s="23">
        <v>-8390</v>
      </c>
      <c r="C65" s="23"/>
      <c r="D65" s="48"/>
    </row>
    <row r="66" spans="1:4" ht="12.75" customHeight="1">
      <c r="A66" s="18" t="s">
        <v>89</v>
      </c>
      <c r="B66" s="23"/>
      <c r="C66" s="23"/>
      <c r="D66" s="48"/>
    </row>
    <row r="67" spans="1:4" ht="12.75" customHeight="1">
      <c r="A67" s="28"/>
      <c r="B67" s="23"/>
      <c r="C67" s="23"/>
      <c r="D67" s="48"/>
    </row>
    <row r="68" spans="1:4" ht="12.75" customHeight="1">
      <c r="A68" s="15" t="s">
        <v>90</v>
      </c>
      <c r="B68" s="24">
        <f>SUM(B59:B66)</f>
        <v>-8390</v>
      </c>
      <c r="C68" s="24">
        <f>SUM(C59:C66)</f>
        <v>0</v>
      </c>
      <c r="D68" s="25">
        <f>SUM(D59:D66)</f>
        <v>65</v>
      </c>
    </row>
    <row r="69" spans="1:4" ht="12.75" customHeight="1">
      <c r="A69" s="28"/>
      <c r="B69" s="23"/>
      <c r="C69" s="23"/>
      <c r="D69" s="48"/>
    </row>
    <row r="70" spans="1:4" ht="12.75" customHeight="1">
      <c r="A70" s="15" t="s">
        <v>91</v>
      </c>
      <c r="B70" s="23"/>
      <c r="C70" s="23"/>
      <c r="D70" s="48"/>
    </row>
    <row r="71" spans="1:4" ht="12.75" customHeight="1">
      <c r="A71" s="18" t="s">
        <v>92</v>
      </c>
      <c r="B71" s="23"/>
      <c r="C71" s="23"/>
      <c r="D71" s="48"/>
    </row>
    <row r="72" spans="1:7" ht="12.75" customHeight="1">
      <c r="A72" s="18" t="s">
        <v>93</v>
      </c>
      <c r="B72" s="23"/>
      <c r="C72" s="23"/>
      <c r="D72" s="48"/>
      <c r="G72" s="38"/>
    </row>
    <row r="73" spans="1:4" ht="12.75" customHeight="1">
      <c r="A73" s="18" t="s">
        <v>94</v>
      </c>
      <c r="B73" s="23">
        <v>-64003</v>
      </c>
      <c r="C73" s="23"/>
      <c r="D73" s="48"/>
    </row>
    <row r="74" spans="1:4" ht="12.75" customHeight="1">
      <c r="A74" s="18" t="s">
        <v>95</v>
      </c>
      <c r="B74" s="23"/>
      <c r="C74" s="23"/>
      <c r="D74" s="48">
        <v>-2407</v>
      </c>
    </row>
    <row r="75" spans="1:4" ht="12.75" customHeight="1">
      <c r="A75" s="28"/>
      <c r="B75" s="23"/>
      <c r="C75" s="23"/>
      <c r="D75" s="48"/>
    </row>
    <row r="76" spans="1:4" ht="12.75" customHeight="1">
      <c r="A76" s="15" t="s">
        <v>97</v>
      </c>
      <c r="B76" s="54">
        <f>SUM(B71:B74)</f>
        <v>-64003</v>
      </c>
      <c r="C76" s="24">
        <f>SUM(C71:C74)</f>
        <v>0</v>
      </c>
      <c r="D76" s="58">
        <f>SUM(D71:D74)</f>
        <v>-2407</v>
      </c>
    </row>
    <row r="77" spans="1:4" ht="12.75" customHeight="1">
      <c r="A77" s="28"/>
      <c r="B77" s="23"/>
      <c r="C77" s="23"/>
      <c r="D77" s="48"/>
    </row>
    <row r="78" spans="1:4" ht="12.75" customHeight="1">
      <c r="A78" s="15" t="s">
        <v>98</v>
      </c>
      <c r="B78" s="24">
        <v>47838</v>
      </c>
      <c r="C78" s="24">
        <f>SUM(C56+(C68+C76))</f>
        <v>-12313</v>
      </c>
      <c r="D78" s="25">
        <f>SUM(D56+(D68+D76))</f>
        <v>-41757</v>
      </c>
    </row>
    <row r="79" spans="1:4" ht="12.75" customHeight="1">
      <c r="A79" s="15"/>
      <c r="B79" s="23"/>
      <c r="C79" s="23"/>
      <c r="D79" s="48"/>
    </row>
    <row r="80" spans="1:4" ht="12.75" customHeight="1">
      <c r="A80" s="15" t="s">
        <v>99</v>
      </c>
      <c r="B80" s="24">
        <v>101448</v>
      </c>
      <c r="C80" s="24">
        <v>30165</v>
      </c>
      <c r="D80" s="25">
        <v>41852</v>
      </c>
    </row>
    <row r="81" spans="1:4" ht="12.75" customHeight="1">
      <c r="A81" s="15"/>
      <c r="B81" s="24"/>
      <c r="C81" s="24"/>
      <c r="D81" s="25"/>
    </row>
    <row r="82" spans="1:4" ht="12.75" customHeight="1">
      <c r="A82" s="15" t="s">
        <v>103</v>
      </c>
      <c r="B82" s="24">
        <v>-35460</v>
      </c>
      <c r="C82" s="24"/>
      <c r="D82" s="25">
        <v>77</v>
      </c>
    </row>
    <row r="83" spans="1:4" ht="12.75" customHeight="1">
      <c r="A83" s="28"/>
      <c r="B83" s="24"/>
      <c r="C83" s="24"/>
      <c r="D83" s="25"/>
    </row>
    <row r="84" spans="1:4" ht="12.75" customHeight="1">
      <c r="A84" s="29" t="s">
        <v>101</v>
      </c>
      <c r="B84" s="31">
        <f>SUM(B78+B80+B82)</f>
        <v>113826</v>
      </c>
      <c r="C84" s="31">
        <f>SUM(C78+C80+C82)</f>
        <v>17852</v>
      </c>
      <c r="D84" s="32">
        <f>SUM(D78,D80,D82)</f>
        <v>172</v>
      </c>
    </row>
  </sheetData>
  <sheetProtection selectLockedCells="1" selectUnlockedCells="1"/>
  <mergeCells count="2">
    <mergeCell ref="A1:K1"/>
    <mergeCell ref="A43:H43"/>
  </mergeCells>
  <printOptions/>
  <pageMargins left="0.6597222222222222" right="0.4" top="0.32013888888888886" bottom="0.4201388888888889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2"/>
  <sheetViews>
    <sheetView workbookViewId="0" topLeftCell="A1">
      <selection activeCell="A1" sqref="A1"/>
    </sheetView>
  </sheetViews>
  <sheetFormatPr defaultColWidth="9.140625" defaultRowHeight="12.75"/>
  <cols>
    <col min="1" max="1" width="38.421875" style="0" customWidth="1"/>
    <col min="2" max="16" width="10.00390625" style="0" customWidth="1"/>
  </cols>
  <sheetData>
    <row r="1" spans="1:17" ht="17.25">
      <c r="A1" s="59" t="s">
        <v>104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</row>
    <row r="2" spans="1:17" ht="17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0"/>
    </row>
    <row r="3" spans="1:17" ht="17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60"/>
    </row>
    <row r="4" spans="1:17" ht="12.7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0"/>
    </row>
    <row r="5" spans="1:16" ht="15" customHeight="1">
      <c r="A5" s="62"/>
      <c r="B5" s="63" t="s">
        <v>2</v>
      </c>
      <c r="C5" s="63"/>
      <c r="D5" s="63"/>
      <c r="E5" s="64" t="s">
        <v>3</v>
      </c>
      <c r="F5" s="64"/>
      <c r="G5" s="64"/>
      <c r="H5" s="65" t="s">
        <v>4</v>
      </c>
      <c r="I5" s="65"/>
      <c r="J5" s="65"/>
      <c r="K5" s="65" t="s">
        <v>5</v>
      </c>
      <c r="L5" s="65"/>
      <c r="M5" s="65"/>
      <c r="N5" s="66" t="s">
        <v>6</v>
      </c>
      <c r="O5" s="66"/>
      <c r="P5" s="66"/>
    </row>
    <row r="6" spans="1:16" ht="15">
      <c r="A6" s="67"/>
      <c r="B6" s="68">
        <v>40086</v>
      </c>
      <c r="C6" s="69">
        <v>40178</v>
      </c>
      <c r="D6" s="70">
        <v>40451</v>
      </c>
      <c r="E6" s="68">
        <v>40086</v>
      </c>
      <c r="F6" s="69">
        <v>40178</v>
      </c>
      <c r="G6" s="70">
        <v>40451</v>
      </c>
      <c r="H6" s="68">
        <v>40086</v>
      </c>
      <c r="I6" s="69">
        <v>40178</v>
      </c>
      <c r="J6" s="70">
        <v>40451</v>
      </c>
      <c r="K6" s="68">
        <v>40086</v>
      </c>
      <c r="L6" s="69">
        <v>40178</v>
      </c>
      <c r="M6" s="70">
        <v>40451</v>
      </c>
      <c r="N6" s="68">
        <v>40086</v>
      </c>
      <c r="O6" s="69">
        <v>40178</v>
      </c>
      <c r="P6" s="70">
        <v>40451</v>
      </c>
    </row>
    <row r="7" spans="1:16" ht="15">
      <c r="A7" s="71" t="s">
        <v>105</v>
      </c>
      <c r="B7" s="72"/>
      <c r="C7" s="73"/>
      <c r="D7" s="74"/>
      <c r="E7" s="75"/>
      <c r="F7" s="73"/>
      <c r="G7" s="76"/>
      <c r="H7" s="72"/>
      <c r="I7" s="73"/>
      <c r="J7" s="74"/>
      <c r="K7" s="72"/>
      <c r="L7" s="73"/>
      <c r="M7" s="74"/>
      <c r="N7" s="75"/>
      <c r="O7" s="73"/>
      <c r="P7" s="74"/>
    </row>
    <row r="8" spans="1:16" ht="15">
      <c r="A8" s="77" t="s">
        <v>106</v>
      </c>
      <c r="B8" s="72">
        <v>4.4</v>
      </c>
      <c r="C8" s="73">
        <v>2.47</v>
      </c>
      <c r="D8" s="74">
        <v>2.45</v>
      </c>
      <c r="E8" s="73">
        <v>2.44</v>
      </c>
      <c r="F8" s="73">
        <v>1.92</v>
      </c>
      <c r="G8" s="74">
        <v>2.17</v>
      </c>
      <c r="H8" s="73">
        <v>2.84</v>
      </c>
      <c r="I8" s="73">
        <v>1.39</v>
      </c>
      <c r="J8" s="74">
        <v>2.69</v>
      </c>
      <c r="K8" s="73">
        <v>1.11</v>
      </c>
      <c r="L8" s="73">
        <v>1.2</v>
      </c>
      <c r="M8" s="74">
        <v>1.29</v>
      </c>
      <c r="N8" s="73">
        <v>1.98</v>
      </c>
      <c r="O8" s="73">
        <v>1.32</v>
      </c>
      <c r="P8" s="74">
        <v>3.4</v>
      </c>
    </row>
    <row r="9" spans="1:16" ht="15">
      <c r="A9" s="77" t="s">
        <v>107</v>
      </c>
      <c r="B9" s="72">
        <v>4.36</v>
      </c>
      <c r="C9" s="73">
        <v>2.46</v>
      </c>
      <c r="D9" s="74">
        <v>2.42</v>
      </c>
      <c r="E9" s="73">
        <v>1.56</v>
      </c>
      <c r="F9" s="73">
        <v>1.29</v>
      </c>
      <c r="G9" s="74">
        <v>1.48</v>
      </c>
      <c r="H9" s="73">
        <v>1.37</v>
      </c>
      <c r="I9" s="73">
        <v>0.64</v>
      </c>
      <c r="J9" s="74">
        <v>1.33</v>
      </c>
      <c r="K9" s="73">
        <v>0.81</v>
      </c>
      <c r="L9" s="73">
        <v>0.88</v>
      </c>
      <c r="M9" s="74">
        <v>0.93</v>
      </c>
      <c r="N9" s="73">
        <v>1.25</v>
      </c>
      <c r="O9" s="73">
        <v>0.66</v>
      </c>
      <c r="P9" s="74">
        <v>2.21</v>
      </c>
    </row>
    <row r="10" spans="1:16" ht="15">
      <c r="A10" s="77" t="s">
        <v>108</v>
      </c>
      <c r="B10" s="72">
        <v>0.65</v>
      </c>
      <c r="C10" s="73">
        <v>0.02</v>
      </c>
      <c r="D10" s="74">
        <v>0.08</v>
      </c>
      <c r="E10" s="73">
        <v>0.48</v>
      </c>
      <c r="F10" s="73">
        <v>0.41</v>
      </c>
      <c r="G10" s="74">
        <v>0.52</v>
      </c>
      <c r="H10" s="73">
        <v>0.42</v>
      </c>
      <c r="I10" s="73">
        <v>0.27</v>
      </c>
      <c r="J10" s="74">
        <v>0.3</v>
      </c>
      <c r="K10" s="73">
        <v>0.01</v>
      </c>
      <c r="L10" s="73">
        <v>0.03</v>
      </c>
      <c r="M10" s="74">
        <v>0.01</v>
      </c>
      <c r="N10" s="73">
        <v>0.33</v>
      </c>
      <c r="O10" s="73">
        <v>0.24</v>
      </c>
      <c r="P10" s="74">
        <v>0.63</v>
      </c>
    </row>
    <row r="11" spans="1:16" ht="15">
      <c r="A11" s="77"/>
      <c r="B11" s="72"/>
      <c r="C11" s="73"/>
      <c r="D11" s="74"/>
      <c r="E11" s="73"/>
      <c r="F11" s="73"/>
      <c r="G11" s="74"/>
      <c r="H11" s="73"/>
      <c r="I11" s="73"/>
      <c r="J11" s="74"/>
      <c r="K11" s="73"/>
      <c r="L11" s="73"/>
      <c r="M11" s="74"/>
      <c r="N11" s="73"/>
      <c r="O11" s="73"/>
      <c r="P11" s="74"/>
    </row>
    <row r="12" spans="1:16" ht="15">
      <c r="A12" s="71" t="s">
        <v>109</v>
      </c>
      <c r="B12" s="72"/>
      <c r="C12" s="73"/>
      <c r="D12" s="74"/>
      <c r="E12" s="73"/>
      <c r="F12" s="73"/>
      <c r="G12" s="74"/>
      <c r="H12" s="73"/>
      <c r="I12" s="73"/>
      <c r="J12" s="74"/>
      <c r="K12" s="73"/>
      <c r="L12" s="73"/>
      <c r="M12" s="74"/>
      <c r="N12" s="73"/>
      <c r="O12" s="73"/>
      <c r="P12" s="74"/>
    </row>
    <row r="13" spans="1:16" ht="15">
      <c r="A13" s="77" t="s">
        <v>110</v>
      </c>
      <c r="B13" s="72">
        <v>2.88</v>
      </c>
      <c r="C13" s="73">
        <v>6.26</v>
      </c>
      <c r="D13" s="74">
        <v>3.96</v>
      </c>
      <c r="E13" s="73">
        <v>1.34</v>
      </c>
      <c r="F13" s="73">
        <v>1.88</v>
      </c>
      <c r="G13" s="74">
        <v>1.95</v>
      </c>
      <c r="H13" s="73">
        <v>1.36</v>
      </c>
      <c r="I13" s="73">
        <v>2.2</v>
      </c>
      <c r="J13" s="74">
        <v>1.88</v>
      </c>
      <c r="K13" s="73">
        <v>4.23</v>
      </c>
      <c r="L13" s="73">
        <v>5.91</v>
      </c>
      <c r="M13" s="74">
        <v>4.9</v>
      </c>
      <c r="N13" s="73">
        <v>4.02</v>
      </c>
      <c r="O13" s="73">
        <v>7.14</v>
      </c>
      <c r="P13" s="74">
        <v>5.62</v>
      </c>
    </row>
    <row r="14" spans="1:16" ht="15">
      <c r="A14" s="77" t="s">
        <v>111</v>
      </c>
      <c r="B14" s="78">
        <v>95</v>
      </c>
      <c r="C14" s="79">
        <v>58</v>
      </c>
      <c r="D14" s="80">
        <v>69</v>
      </c>
      <c r="E14" s="79">
        <v>204</v>
      </c>
      <c r="F14" s="79">
        <v>194</v>
      </c>
      <c r="G14" s="80">
        <v>140</v>
      </c>
      <c r="H14" s="79">
        <v>201</v>
      </c>
      <c r="I14" s="79">
        <v>166</v>
      </c>
      <c r="J14" s="80">
        <v>145</v>
      </c>
      <c r="K14" s="79">
        <v>64</v>
      </c>
      <c r="L14" s="79">
        <v>62</v>
      </c>
      <c r="M14" s="80">
        <v>56</v>
      </c>
      <c r="N14" s="79">
        <v>68</v>
      </c>
      <c r="O14" s="79">
        <v>51</v>
      </c>
      <c r="P14" s="80">
        <v>49</v>
      </c>
    </row>
    <row r="15" spans="1:16" ht="15">
      <c r="A15" s="77" t="s">
        <v>112</v>
      </c>
      <c r="B15" s="72"/>
      <c r="C15" s="73"/>
      <c r="D15" s="74"/>
      <c r="E15" s="73">
        <v>2.86</v>
      </c>
      <c r="F15" s="73">
        <v>4.18</v>
      </c>
      <c r="G15" s="74">
        <v>3.17</v>
      </c>
      <c r="H15" s="73">
        <v>3.77</v>
      </c>
      <c r="I15" s="73">
        <v>4.3</v>
      </c>
      <c r="J15" s="74">
        <v>3.73</v>
      </c>
      <c r="K15" s="73">
        <v>22.02</v>
      </c>
      <c r="L15" s="73">
        <v>26.27</v>
      </c>
      <c r="M15" s="74">
        <v>18.85</v>
      </c>
      <c r="N15" s="73">
        <v>6.67</v>
      </c>
      <c r="O15" s="73">
        <v>5.14</v>
      </c>
      <c r="P15" s="74">
        <v>4.06</v>
      </c>
    </row>
    <row r="16" spans="1:16" ht="15">
      <c r="A16" s="77" t="s">
        <v>113</v>
      </c>
      <c r="B16" s="78"/>
      <c r="C16" s="79"/>
      <c r="D16" s="80"/>
      <c r="E16" s="79">
        <v>96</v>
      </c>
      <c r="F16" s="79">
        <v>87</v>
      </c>
      <c r="G16" s="80">
        <v>86</v>
      </c>
      <c r="H16" s="79">
        <v>72</v>
      </c>
      <c r="I16" s="79">
        <v>85</v>
      </c>
      <c r="J16" s="80">
        <v>73</v>
      </c>
      <c r="K16" s="79">
        <v>12</v>
      </c>
      <c r="L16" s="79">
        <v>14</v>
      </c>
      <c r="M16" s="80">
        <v>14</v>
      </c>
      <c r="N16" s="79">
        <v>41</v>
      </c>
      <c r="O16" s="79">
        <v>71</v>
      </c>
      <c r="P16" s="80">
        <v>67</v>
      </c>
    </row>
    <row r="17" spans="1:16" ht="15">
      <c r="A17" s="77" t="s">
        <v>114</v>
      </c>
      <c r="B17" s="72">
        <v>1.37</v>
      </c>
      <c r="C17" s="73">
        <v>1.66</v>
      </c>
      <c r="D17" s="74">
        <v>1.5</v>
      </c>
      <c r="E17" s="73">
        <v>1.48</v>
      </c>
      <c r="F17" s="73">
        <v>1.97</v>
      </c>
      <c r="G17" s="74">
        <v>1.66</v>
      </c>
      <c r="H17" s="73">
        <v>1.87</v>
      </c>
      <c r="I17" s="73">
        <v>4.2</v>
      </c>
      <c r="J17" s="74">
        <v>3.63</v>
      </c>
      <c r="K17" s="73">
        <v>2.25</v>
      </c>
      <c r="L17" s="73">
        <v>3.26</v>
      </c>
      <c r="M17" s="74">
        <v>2.55</v>
      </c>
      <c r="N17" s="73">
        <v>2.99</v>
      </c>
      <c r="O17" s="73">
        <v>4.45</v>
      </c>
      <c r="P17" s="74">
        <v>3.6</v>
      </c>
    </row>
    <row r="18" spans="1:16" ht="15">
      <c r="A18" s="77" t="s">
        <v>115</v>
      </c>
      <c r="B18" s="78">
        <v>198</v>
      </c>
      <c r="C18" s="79">
        <v>219</v>
      </c>
      <c r="D18" s="80">
        <v>182</v>
      </c>
      <c r="E18" s="79">
        <v>184</v>
      </c>
      <c r="F18" s="79">
        <v>185</v>
      </c>
      <c r="G18" s="80">
        <v>165</v>
      </c>
      <c r="H18" s="79">
        <v>146</v>
      </c>
      <c r="I18" s="79">
        <v>87</v>
      </c>
      <c r="J18" s="80">
        <v>75</v>
      </c>
      <c r="K18" s="79">
        <v>121</v>
      </c>
      <c r="L18" s="79">
        <v>112</v>
      </c>
      <c r="M18" s="80">
        <v>107</v>
      </c>
      <c r="N18" s="79">
        <v>91</v>
      </c>
      <c r="O18" s="79">
        <v>82</v>
      </c>
      <c r="P18" s="80">
        <v>76</v>
      </c>
    </row>
    <row r="19" spans="1:16" ht="15">
      <c r="A19" s="77" t="s">
        <v>116</v>
      </c>
      <c r="B19" s="72">
        <v>9.53</v>
      </c>
      <c r="C19" s="73">
        <v>13.08</v>
      </c>
      <c r="D19" s="74">
        <v>10.8</v>
      </c>
      <c r="E19" s="73">
        <v>2.23</v>
      </c>
      <c r="F19" s="73">
        <v>2.79</v>
      </c>
      <c r="G19" s="74">
        <v>2.58</v>
      </c>
      <c r="H19" s="73">
        <v>1.55</v>
      </c>
      <c r="I19" s="73">
        <v>4.03</v>
      </c>
      <c r="J19" s="74">
        <v>2.48</v>
      </c>
      <c r="K19" s="73">
        <v>2.14</v>
      </c>
      <c r="L19" s="73">
        <v>2.98</v>
      </c>
      <c r="M19" s="74">
        <v>2.69</v>
      </c>
      <c r="N19" s="73">
        <v>2.95</v>
      </c>
      <c r="O19" s="73">
        <v>4.17</v>
      </c>
      <c r="P19" s="74">
        <v>3.96</v>
      </c>
    </row>
    <row r="20" spans="1:16" ht="15">
      <c r="A20" s="77" t="s">
        <v>117</v>
      </c>
      <c r="B20" s="78">
        <v>29</v>
      </c>
      <c r="C20" s="79">
        <v>28</v>
      </c>
      <c r="D20" s="80">
        <v>25</v>
      </c>
      <c r="E20" s="79">
        <v>122</v>
      </c>
      <c r="F20" s="79">
        <v>131</v>
      </c>
      <c r="G20" s="80">
        <v>106</v>
      </c>
      <c r="H20" s="79">
        <v>177</v>
      </c>
      <c r="I20" s="79">
        <v>90</v>
      </c>
      <c r="J20" s="80">
        <v>110</v>
      </c>
      <c r="K20" s="79">
        <v>128</v>
      </c>
      <c r="L20" s="79">
        <v>123</v>
      </c>
      <c r="M20" s="80">
        <v>101</v>
      </c>
      <c r="N20" s="79">
        <v>92</v>
      </c>
      <c r="O20" s="79">
        <v>88</v>
      </c>
      <c r="P20" s="80">
        <v>69</v>
      </c>
    </row>
    <row r="21" spans="1:16" ht="15">
      <c r="A21" s="77"/>
      <c r="B21" s="72"/>
      <c r="C21" s="73"/>
      <c r="D21" s="74"/>
      <c r="E21" s="73"/>
      <c r="F21" s="73"/>
      <c r="G21" s="74"/>
      <c r="H21" s="73"/>
      <c r="I21" s="73"/>
      <c r="J21" s="74"/>
      <c r="K21" s="73"/>
      <c r="L21" s="73"/>
      <c r="M21" s="74"/>
      <c r="N21" s="73"/>
      <c r="O21" s="73"/>
      <c r="P21" s="74"/>
    </row>
    <row r="22" spans="1:16" ht="15">
      <c r="A22" s="71" t="s">
        <v>118</v>
      </c>
      <c r="B22" s="72"/>
      <c r="C22" s="73"/>
      <c r="D22" s="74"/>
      <c r="E22" s="73"/>
      <c r="F22" s="73"/>
      <c r="G22" s="74"/>
      <c r="H22" s="73"/>
      <c r="I22" s="73"/>
      <c r="J22" s="74"/>
      <c r="K22" s="73"/>
      <c r="L22" s="73"/>
      <c r="M22" s="74"/>
      <c r="N22" s="73"/>
      <c r="O22" s="73"/>
      <c r="P22" s="74"/>
    </row>
    <row r="23" spans="1:16" ht="15">
      <c r="A23" s="77" t="s">
        <v>119</v>
      </c>
      <c r="B23" s="72">
        <v>18.99</v>
      </c>
      <c r="C23" s="73">
        <v>28.12</v>
      </c>
      <c r="D23" s="74">
        <v>29.45</v>
      </c>
      <c r="E23" s="73">
        <v>14.71</v>
      </c>
      <c r="F23" s="73">
        <v>11.95</v>
      </c>
      <c r="G23" s="74">
        <v>9.57</v>
      </c>
      <c r="H23" s="73"/>
      <c r="I23" s="73"/>
      <c r="J23" s="74"/>
      <c r="K23" s="73"/>
      <c r="L23" s="73">
        <v>1.33</v>
      </c>
      <c r="M23" s="74">
        <v>6.61</v>
      </c>
      <c r="N23" s="73"/>
      <c r="O23" s="73"/>
      <c r="P23" s="74"/>
    </row>
    <row r="24" spans="1:16" ht="15">
      <c r="A24" s="77" t="s">
        <v>120</v>
      </c>
      <c r="B24" s="81">
        <v>3.32</v>
      </c>
      <c r="C24" s="82">
        <v>7.02</v>
      </c>
      <c r="D24" s="83">
        <v>6.16</v>
      </c>
      <c r="E24" s="82">
        <v>10.52</v>
      </c>
      <c r="F24" s="82">
        <v>11.32</v>
      </c>
      <c r="G24" s="83">
        <v>7.03</v>
      </c>
      <c r="H24" s="82"/>
      <c r="I24" s="82"/>
      <c r="J24" s="83"/>
      <c r="K24" s="82"/>
      <c r="L24" s="82">
        <v>2.29</v>
      </c>
      <c r="M24" s="83">
        <v>11.89</v>
      </c>
      <c r="N24" s="82"/>
      <c r="O24" s="82"/>
      <c r="P24" s="83"/>
    </row>
    <row r="25" spans="1:16" ht="15">
      <c r="A25" s="77" t="s">
        <v>121</v>
      </c>
      <c r="B25" s="81">
        <v>4.86</v>
      </c>
      <c r="C25" s="82">
        <v>10.08</v>
      </c>
      <c r="D25" s="83">
        <v>8.41</v>
      </c>
      <c r="E25" s="82">
        <v>35.61</v>
      </c>
      <c r="F25" s="82">
        <v>41.51</v>
      </c>
      <c r="G25" s="83">
        <v>25.19</v>
      </c>
      <c r="H25" s="82"/>
      <c r="I25" s="82"/>
      <c r="J25" s="83"/>
      <c r="K25" s="82"/>
      <c r="L25" s="82">
        <v>15.72</v>
      </c>
      <c r="M25" s="83">
        <v>63.4</v>
      </c>
      <c r="N25" s="82"/>
      <c r="O25" s="82"/>
      <c r="P25" s="83"/>
    </row>
    <row r="26" spans="1:16" ht="15">
      <c r="A26" s="77"/>
      <c r="B26" s="81"/>
      <c r="C26" s="82"/>
      <c r="D26" s="83"/>
      <c r="E26" s="82"/>
      <c r="F26" s="82"/>
      <c r="G26" s="83"/>
      <c r="H26" s="82"/>
      <c r="I26" s="82"/>
      <c r="J26" s="83"/>
      <c r="K26" s="82"/>
      <c r="L26" s="82"/>
      <c r="M26" s="83"/>
      <c r="N26" s="82"/>
      <c r="O26" s="82"/>
      <c r="P26" s="83"/>
    </row>
    <row r="27" spans="1:16" ht="15">
      <c r="A27" s="71" t="s">
        <v>122</v>
      </c>
      <c r="B27" s="81"/>
      <c r="C27" s="82"/>
      <c r="D27" s="83"/>
      <c r="E27" s="82"/>
      <c r="F27" s="82"/>
      <c r="G27" s="83"/>
      <c r="H27" s="82"/>
      <c r="I27" s="82"/>
      <c r="J27" s="83"/>
      <c r="K27" s="82"/>
      <c r="L27" s="82"/>
      <c r="M27" s="83"/>
      <c r="N27" s="82"/>
      <c r="O27" s="82"/>
      <c r="P27" s="83"/>
    </row>
    <row r="28" spans="1:16" ht="15">
      <c r="A28" s="77" t="s">
        <v>123</v>
      </c>
      <c r="B28" s="81">
        <v>0.69</v>
      </c>
      <c r="C28" s="82">
        <v>0.72</v>
      </c>
      <c r="D28" s="83">
        <v>0.75</v>
      </c>
      <c r="E28" s="82">
        <v>0.3</v>
      </c>
      <c r="F28" s="82">
        <v>0.28</v>
      </c>
      <c r="G28" s="83">
        <v>0.27</v>
      </c>
      <c r="H28" s="82">
        <v>0.13</v>
      </c>
      <c r="I28" s="82">
        <v>0.1</v>
      </c>
      <c r="J28" s="83">
        <v>0.05</v>
      </c>
      <c r="K28" s="82">
        <v>0.09</v>
      </c>
      <c r="L28" s="82">
        <v>0.15</v>
      </c>
      <c r="M28" s="83">
        <v>0.22</v>
      </c>
      <c r="N28" s="82"/>
      <c r="O28" s="82"/>
      <c r="P28" s="83">
        <v>0.09</v>
      </c>
    </row>
    <row r="29" spans="1:16" ht="15">
      <c r="A29" s="77" t="s">
        <v>124</v>
      </c>
      <c r="B29" s="81">
        <v>0.38</v>
      </c>
      <c r="C29" s="82">
        <v>0.28</v>
      </c>
      <c r="D29" s="83">
        <v>0.25</v>
      </c>
      <c r="E29" s="82">
        <v>0.7</v>
      </c>
      <c r="F29" s="82">
        <v>0.72</v>
      </c>
      <c r="G29" s="83">
        <v>0.73</v>
      </c>
      <c r="H29" s="82">
        <v>0.87</v>
      </c>
      <c r="I29" s="82">
        <v>0.9</v>
      </c>
      <c r="J29" s="83">
        <v>0.94</v>
      </c>
      <c r="K29" s="82">
        <v>0.91</v>
      </c>
      <c r="L29" s="82">
        <v>0.85</v>
      </c>
      <c r="M29" s="83">
        <v>0.78</v>
      </c>
      <c r="N29" s="82">
        <v>1.18</v>
      </c>
      <c r="O29" s="82">
        <v>1.18</v>
      </c>
      <c r="P29" s="83">
        <v>0.91</v>
      </c>
    </row>
    <row r="30" spans="1:16" ht="15">
      <c r="A30" s="77" t="s">
        <v>125</v>
      </c>
      <c r="B30" s="81">
        <v>0.82</v>
      </c>
      <c r="C30" s="82">
        <v>1.14</v>
      </c>
      <c r="D30" s="83">
        <v>1.05</v>
      </c>
      <c r="E30" s="82">
        <v>1.56</v>
      </c>
      <c r="F30" s="82">
        <v>1.39</v>
      </c>
      <c r="G30" s="83">
        <v>1.6</v>
      </c>
      <c r="H30" s="82">
        <v>1.11</v>
      </c>
      <c r="I30" s="82">
        <v>0.77</v>
      </c>
      <c r="J30" s="83">
        <v>1.1</v>
      </c>
      <c r="K30" s="82">
        <v>0.41</v>
      </c>
      <c r="L30" s="82">
        <v>0.65</v>
      </c>
      <c r="M30" s="83">
        <v>0.82</v>
      </c>
      <c r="N30" s="82">
        <v>1.4</v>
      </c>
      <c r="O30" s="82">
        <v>1.01</v>
      </c>
      <c r="P30" s="83">
        <v>1.45</v>
      </c>
    </row>
    <row r="31" spans="1:16" ht="15">
      <c r="A31" s="77" t="s">
        <v>126</v>
      </c>
      <c r="B31" s="81">
        <v>1.08</v>
      </c>
      <c r="C31" s="82">
        <v>1.12</v>
      </c>
      <c r="D31" s="83">
        <v>1.04</v>
      </c>
      <c r="E31" s="82">
        <v>11</v>
      </c>
      <c r="F31" s="82">
        <v>10.09</v>
      </c>
      <c r="G31" s="83">
        <v>12.08</v>
      </c>
      <c r="H31" s="82">
        <v>1.9</v>
      </c>
      <c r="I31" s="82">
        <v>1.4</v>
      </c>
      <c r="J31" s="83">
        <v>2.02</v>
      </c>
      <c r="K31" s="82">
        <v>4.65</v>
      </c>
      <c r="L31" s="82">
        <v>7.71</v>
      </c>
      <c r="M31" s="83">
        <v>11.38</v>
      </c>
      <c r="N31" s="82">
        <v>2.019</v>
      </c>
      <c r="O31" s="82">
        <v>1.74</v>
      </c>
      <c r="P31" s="83">
        <v>2.48</v>
      </c>
    </row>
    <row r="32" spans="1:16" ht="15">
      <c r="A32" s="77" t="s">
        <v>127</v>
      </c>
      <c r="B32" s="84">
        <v>5.52</v>
      </c>
      <c r="C32" s="85">
        <v>2.3</v>
      </c>
      <c r="D32" s="86">
        <v>2.13</v>
      </c>
      <c r="E32" s="85">
        <v>4.18</v>
      </c>
      <c r="F32" s="85">
        <v>3.59</v>
      </c>
      <c r="G32" s="86">
        <v>6.74</v>
      </c>
      <c r="H32" s="85"/>
      <c r="I32" s="85"/>
      <c r="J32" s="86"/>
      <c r="K32" s="85"/>
      <c r="L32" s="87"/>
      <c r="M32" s="86">
        <v>1.6</v>
      </c>
      <c r="N32" s="85"/>
      <c r="O32" s="85"/>
      <c r="P32" s="86"/>
    </row>
    <row r="33" spans="1:16" ht="15">
      <c r="A33" s="77" t="s">
        <v>128</v>
      </c>
      <c r="B33" s="81">
        <v>0.65</v>
      </c>
      <c r="C33" s="82">
        <v>2.29</v>
      </c>
      <c r="D33" s="83">
        <v>4.04</v>
      </c>
      <c r="E33" s="82">
        <v>8.52</v>
      </c>
      <c r="F33" s="82">
        <v>8.73</v>
      </c>
      <c r="G33" s="83">
        <v>9.51</v>
      </c>
      <c r="H33" s="82">
        <v>0.92</v>
      </c>
      <c r="I33" s="82">
        <v>1.13</v>
      </c>
      <c r="J33" s="83">
        <v>2.16</v>
      </c>
      <c r="K33" s="82">
        <v>1.01</v>
      </c>
      <c r="L33" s="82">
        <v>8.35</v>
      </c>
      <c r="M33" s="83">
        <v>15.95</v>
      </c>
      <c r="N33" s="82"/>
      <c r="O33" s="82">
        <v>0.37</v>
      </c>
      <c r="P33" s="83">
        <v>2.58</v>
      </c>
    </row>
    <row r="34" spans="1:16" ht="15">
      <c r="A34" s="77" t="s">
        <v>129</v>
      </c>
      <c r="B34" s="81">
        <v>0.44</v>
      </c>
      <c r="C34" s="82">
        <v>0.39</v>
      </c>
      <c r="D34" s="83">
        <v>0.34</v>
      </c>
      <c r="E34" s="82">
        <v>2.36</v>
      </c>
      <c r="F34" s="82">
        <v>2.51</v>
      </c>
      <c r="G34" s="83">
        <v>2.66</v>
      </c>
      <c r="H34" s="82">
        <v>6.51</v>
      </c>
      <c r="I34" s="82">
        <v>8.81</v>
      </c>
      <c r="J34" s="83">
        <v>18.89</v>
      </c>
      <c r="K34" s="82">
        <v>10.16</v>
      </c>
      <c r="L34" s="82">
        <v>5.71</v>
      </c>
      <c r="M34" s="83">
        <v>3.62</v>
      </c>
      <c r="N34" s="82"/>
      <c r="O34" s="82"/>
      <c r="P34" s="83">
        <v>9.87</v>
      </c>
    </row>
    <row r="35" spans="1:16" ht="15">
      <c r="A35" s="88"/>
      <c r="B35" s="89"/>
      <c r="C35" s="90"/>
      <c r="D35" s="91"/>
      <c r="E35" s="90"/>
      <c r="F35" s="90"/>
      <c r="G35" s="91"/>
      <c r="H35" s="90"/>
      <c r="I35" s="90"/>
      <c r="J35" s="91"/>
      <c r="K35" s="90"/>
      <c r="L35" s="90"/>
      <c r="M35" s="91"/>
      <c r="N35" s="90"/>
      <c r="O35" s="90"/>
      <c r="P35" s="91"/>
    </row>
    <row r="36" spans="1:16" ht="15">
      <c r="A36" s="92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</row>
    <row r="37" spans="1:16" ht="15">
      <c r="A37" s="92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</row>
    <row r="38" spans="1:16" ht="15">
      <c r="A38" s="92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</row>
    <row r="39" spans="1:16" ht="15">
      <c r="A39" s="92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</row>
    <row r="40" spans="1:16" ht="15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</row>
    <row r="41" spans="1:16" ht="15">
      <c r="A41" s="92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</row>
    <row r="42" spans="1:16" ht="17.25" customHeight="1">
      <c r="A42" s="59" t="s">
        <v>130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</row>
    <row r="43" spans="1:16" ht="17.2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</row>
    <row r="44" spans="1:16" ht="17.2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</row>
    <row r="45" spans="1:16" ht="12.7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</row>
    <row r="46" spans="1:16" ht="15" customHeight="1">
      <c r="A46" s="62"/>
      <c r="B46" s="65" t="s">
        <v>7</v>
      </c>
      <c r="C46" s="65"/>
      <c r="D46" s="65"/>
      <c r="E46" s="64" t="s">
        <v>8</v>
      </c>
      <c r="F46" s="64"/>
      <c r="G46" s="64"/>
      <c r="H46" s="65" t="s">
        <v>9</v>
      </c>
      <c r="I46" s="65"/>
      <c r="J46" s="65"/>
      <c r="K46" s="65" t="s">
        <v>10</v>
      </c>
      <c r="L46" s="65"/>
      <c r="M46" s="65"/>
      <c r="N46" s="66" t="s">
        <v>11</v>
      </c>
      <c r="O46" s="66"/>
      <c r="P46" s="66"/>
    </row>
    <row r="47" spans="1:16" ht="15">
      <c r="A47" s="67"/>
      <c r="B47" s="68">
        <v>40086</v>
      </c>
      <c r="C47" s="69">
        <v>40178</v>
      </c>
      <c r="D47" s="70">
        <v>40451</v>
      </c>
      <c r="E47" s="68">
        <v>40086</v>
      </c>
      <c r="F47" s="69">
        <v>40178</v>
      </c>
      <c r="G47" s="70">
        <v>40451</v>
      </c>
      <c r="H47" s="68">
        <v>40086</v>
      </c>
      <c r="I47" s="69">
        <v>40178</v>
      </c>
      <c r="J47" s="70">
        <v>40451</v>
      </c>
      <c r="K47" s="68">
        <v>40086</v>
      </c>
      <c r="L47" s="69">
        <v>40178</v>
      </c>
      <c r="M47" s="70">
        <v>40451</v>
      </c>
      <c r="N47" s="68">
        <v>40086</v>
      </c>
      <c r="O47" s="69">
        <v>40178</v>
      </c>
      <c r="P47" s="70">
        <v>40451</v>
      </c>
    </row>
    <row r="48" spans="1:16" ht="15">
      <c r="A48" s="71" t="s">
        <v>105</v>
      </c>
      <c r="B48" s="72"/>
      <c r="C48" s="73"/>
      <c r="D48" s="74"/>
      <c r="E48" s="75"/>
      <c r="F48" s="73"/>
      <c r="G48" s="76"/>
      <c r="H48" s="72"/>
      <c r="I48" s="73"/>
      <c r="J48" s="74"/>
      <c r="K48" s="72"/>
      <c r="L48" s="73"/>
      <c r="M48" s="74"/>
      <c r="N48" s="75"/>
      <c r="O48" s="73"/>
      <c r="P48" s="74"/>
    </row>
    <row r="49" spans="1:16" ht="15">
      <c r="A49" s="77" t="s">
        <v>106</v>
      </c>
      <c r="B49" s="72">
        <v>1.85</v>
      </c>
      <c r="C49" s="73">
        <v>1.58</v>
      </c>
      <c r="D49" s="74">
        <v>1.53</v>
      </c>
      <c r="E49" s="73">
        <v>3.78</v>
      </c>
      <c r="F49" s="73">
        <v>6.06</v>
      </c>
      <c r="G49" s="74">
        <v>3.37</v>
      </c>
      <c r="H49" s="72"/>
      <c r="I49" s="73"/>
      <c r="J49" s="74">
        <v>1.09</v>
      </c>
      <c r="K49" s="73">
        <v>1.54</v>
      </c>
      <c r="L49" s="73">
        <v>1.65</v>
      </c>
      <c r="M49" s="74">
        <v>1.55</v>
      </c>
      <c r="N49" s="75">
        <v>1.68</v>
      </c>
      <c r="O49" s="73">
        <v>1.11</v>
      </c>
      <c r="P49" s="74">
        <v>1.26</v>
      </c>
    </row>
    <row r="50" spans="1:16" ht="15">
      <c r="A50" s="77" t="s">
        <v>107</v>
      </c>
      <c r="B50" s="72">
        <v>0.86</v>
      </c>
      <c r="C50" s="73">
        <v>0.76</v>
      </c>
      <c r="D50" s="74">
        <v>0.83</v>
      </c>
      <c r="E50" s="73">
        <v>2.23</v>
      </c>
      <c r="F50" s="73">
        <v>3.77</v>
      </c>
      <c r="G50" s="74">
        <v>2.12</v>
      </c>
      <c r="H50" s="72"/>
      <c r="I50" s="73"/>
      <c r="J50" s="74">
        <v>0.55</v>
      </c>
      <c r="K50" s="73">
        <v>1.34</v>
      </c>
      <c r="L50" s="73">
        <v>1.38</v>
      </c>
      <c r="M50" s="74">
        <v>1.25</v>
      </c>
      <c r="N50" s="75">
        <v>0.65</v>
      </c>
      <c r="O50" s="73">
        <v>0.41</v>
      </c>
      <c r="P50" s="74">
        <v>0.42</v>
      </c>
    </row>
    <row r="51" spans="1:16" ht="15">
      <c r="A51" s="77" t="s">
        <v>108</v>
      </c>
      <c r="B51" s="72">
        <v>0.16</v>
      </c>
      <c r="C51" s="73">
        <v>0.1</v>
      </c>
      <c r="D51" s="74">
        <v>0.11</v>
      </c>
      <c r="E51" s="73">
        <v>0.47</v>
      </c>
      <c r="F51" s="73">
        <v>0.09</v>
      </c>
      <c r="G51" s="74">
        <v>0.37</v>
      </c>
      <c r="H51" s="72"/>
      <c r="I51" s="73"/>
      <c r="J51" s="74">
        <v>0.07</v>
      </c>
      <c r="K51" s="73">
        <v>0.5</v>
      </c>
      <c r="L51" s="73">
        <v>0.41</v>
      </c>
      <c r="M51" s="74">
        <v>0.24</v>
      </c>
      <c r="N51" s="75">
        <v>0.19</v>
      </c>
      <c r="O51" s="73">
        <v>0.15</v>
      </c>
      <c r="P51" s="74">
        <v>0.17</v>
      </c>
    </row>
    <row r="52" spans="1:16" ht="15">
      <c r="A52" s="77"/>
      <c r="B52" s="72"/>
      <c r="C52" s="73"/>
      <c r="D52" s="74"/>
      <c r="E52" s="73"/>
      <c r="F52" s="73"/>
      <c r="G52" s="74"/>
      <c r="H52" s="72"/>
      <c r="I52" s="73"/>
      <c r="J52" s="74"/>
      <c r="K52" s="73"/>
      <c r="L52" s="73"/>
      <c r="M52" s="74"/>
      <c r="N52" s="75"/>
      <c r="O52" s="73"/>
      <c r="P52" s="74"/>
    </row>
    <row r="53" spans="1:16" ht="15">
      <c r="A53" s="71" t="s">
        <v>109</v>
      </c>
      <c r="B53" s="72"/>
      <c r="C53" s="73"/>
      <c r="D53" s="74"/>
      <c r="E53" s="73"/>
      <c r="F53" s="73"/>
      <c r="G53" s="74"/>
      <c r="H53" s="72"/>
      <c r="I53" s="73"/>
      <c r="J53" s="74"/>
      <c r="K53" s="73"/>
      <c r="L53" s="73"/>
      <c r="M53" s="74"/>
      <c r="N53" s="75"/>
      <c r="O53" s="73"/>
      <c r="P53" s="74"/>
    </row>
    <row r="54" spans="1:16" ht="15">
      <c r="A54" s="77" t="s">
        <v>110</v>
      </c>
      <c r="B54" s="72"/>
      <c r="C54" s="73"/>
      <c r="D54" s="74"/>
      <c r="E54" s="73"/>
      <c r="F54" s="73"/>
      <c r="G54" s="74"/>
      <c r="H54" s="72"/>
      <c r="I54" s="73"/>
      <c r="J54" s="74"/>
      <c r="K54" s="73"/>
      <c r="L54" s="73"/>
      <c r="M54" s="74"/>
      <c r="N54" s="75">
        <v>7.15</v>
      </c>
      <c r="O54" s="73">
        <v>9.2</v>
      </c>
      <c r="P54" s="74">
        <v>5.91</v>
      </c>
    </row>
    <row r="55" spans="1:16" ht="15">
      <c r="A55" s="77" t="s">
        <v>111</v>
      </c>
      <c r="B55" s="78"/>
      <c r="C55" s="79"/>
      <c r="D55" s="80"/>
      <c r="E55" s="79"/>
      <c r="F55" s="79"/>
      <c r="G55" s="80"/>
      <c r="H55" s="78"/>
      <c r="I55" s="79"/>
      <c r="J55" s="80"/>
      <c r="K55" s="79"/>
      <c r="L55" s="79"/>
      <c r="M55" s="80"/>
      <c r="N55" s="94">
        <v>38</v>
      </c>
      <c r="O55" s="79">
        <v>40</v>
      </c>
      <c r="P55" s="80">
        <v>46</v>
      </c>
    </row>
    <row r="56" spans="1:16" ht="15">
      <c r="A56" s="77" t="s">
        <v>112</v>
      </c>
      <c r="B56" s="72">
        <v>1.76</v>
      </c>
      <c r="C56" s="73">
        <v>2.63</v>
      </c>
      <c r="D56" s="74">
        <v>1.93</v>
      </c>
      <c r="E56" s="73">
        <v>0.96</v>
      </c>
      <c r="F56" s="73">
        <v>1.57</v>
      </c>
      <c r="G56" s="74">
        <v>1.15</v>
      </c>
      <c r="H56" s="72"/>
      <c r="I56" s="73"/>
      <c r="J56" s="74">
        <v>1.32</v>
      </c>
      <c r="K56" s="73">
        <v>7.97</v>
      </c>
      <c r="L56" s="73">
        <v>10.2</v>
      </c>
      <c r="M56" s="74">
        <v>5.94</v>
      </c>
      <c r="N56" s="75">
        <v>3.96</v>
      </c>
      <c r="O56" s="73">
        <v>5.65</v>
      </c>
      <c r="P56" s="74">
        <v>3.87</v>
      </c>
    </row>
    <row r="57" spans="1:16" ht="15">
      <c r="A57" s="77" t="s">
        <v>113</v>
      </c>
      <c r="B57" s="78">
        <v>155</v>
      </c>
      <c r="C57" s="79">
        <v>139</v>
      </c>
      <c r="D57" s="80">
        <v>141</v>
      </c>
      <c r="E57" s="79">
        <v>284</v>
      </c>
      <c r="F57" s="79">
        <v>232</v>
      </c>
      <c r="G57" s="80">
        <v>237</v>
      </c>
      <c r="H57" s="78"/>
      <c r="I57" s="79"/>
      <c r="J57" s="80">
        <v>207</v>
      </c>
      <c r="K57" s="79">
        <v>34</v>
      </c>
      <c r="L57" s="79">
        <v>36</v>
      </c>
      <c r="M57" s="80">
        <v>45</v>
      </c>
      <c r="N57" s="94">
        <v>69</v>
      </c>
      <c r="O57" s="79">
        <v>65</v>
      </c>
      <c r="P57" s="80">
        <v>71</v>
      </c>
    </row>
    <row r="58" spans="1:16" ht="15">
      <c r="A58" s="77" t="s">
        <v>114</v>
      </c>
      <c r="B58" s="72">
        <v>2.09</v>
      </c>
      <c r="C58" s="73">
        <v>2.86</v>
      </c>
      <c r="D58" s="74">
        <v>2.26</v>
      </c>
      <c r="E58" s="73">
        <v>1.45</v>
      </c>
      <c r="F58" s="73">
        <v>1.98</v>
      </c>
      <c r="G58" s="74">
        <v>1.43</v>
      </c>
      <c r="H58" s="72"/>
      <c r="I58" s="73"/>
      <c r="J58" s="74">
        <v>3.34</v>
      </c>
      <c r="K58" s="73">
        <v>2.18</v>
      </c>
      <c r="L58" s="73">
        <v>2.98</v>
      </c>
      <c r="M58" s="74">
        <v>2.46</v>
      </c>
      <c r="N58" s="75">
        <v>7.04</v>
      </c>
      <c r="O58" s="73">
        <v>9.63</v>
      </c>
      <c r="P58" s="74">
        <v>8.83</v>
      </c>
    </row>
    <row r="59" spans="1:16" ht="15">
      <c r="A59" s="77" t="s">
        <v>115</v>
      </c>
      <c r="B59" s="78">
        <v>131</v>
      </c>
      <c r="C59" s="79">
        <v>128</v>
      </c>
      <c r="D59" s="80">
        <v>121</v>
      </c>
      <c r="E59" s="79">
        <v>188</v>
      </c>
      <c r="F59" s="79">
        <v>184</v>
      </c>
      <c r="G59" s="80">
        <v>191</v>
      </c>
      <c r="H59" s="78"/>
      <c r="I59" s="79"/>
      <c r="J59" s="80">
        <v>79</v>
      </c>
      <c r="K59" s="79">
        <v>125</v>
      </c>
      <c r="L59" s="79">
        <v>122</v>
      </c>
      <c r="M59" s="80">
        <v>110</v>
      </c>
      <c r="N59" s="94">
        <v>39</v>
      </c>
      <c r="O59" s="79">
        <v>38</v>
      </c>
      <c r="P59" s="80">
        <v>31</v>
      </c>
    </row>
    <row r="60" spans="1:16" ht="15">
      <c r="A60" s="77" t="s">
        <v>116</v>
      </c>
      <c r="B60" s="72">
        <v>1.59</v>
      </c>
      <c r="C60" s="73">
        <v>3.08</v>
      </c>
      <c r="D60" s="74">
        <v>2.34</v>
      </c>
      <c r="E60" s="73">
        <v>10.84</v>
      </c>
      <c r="F60" s="73">
        <v>15.29</v>
      </c>
      <c r="G60" s="74">
        <v>13.4</v>
      </c>
      <c r="H60" s="72"/>
      <c r="I60" s="73"/>
      <c r="J60" s="74">
        <v>2.19</v>
      </c>
      <c r="K60" s="73">
        <v>2.95</v>
      </c>
      <c r="L60" s="73">
        <v>4.18</v>
      </c>
      <c r="M60" s="74">
        <v>3.1</v>
      </c>
      <c r="N60" s="75">
        <v>4.21</v>
      </c>
      <c r="O60" s="73">
        <v>5.89</v>
      </c>
      <c r="P60" s="74">
        <v>4.69</v>
      </c>
    </row>
    <row r="61" spans="1:16" ht="15">
      <c r="A61" s="77" t="s">
        <v>117</v>
      </c>
      <c r="B61" s="78">
        <v>171</v>
      </c>
      <c r="C61" s="79">
        <v>118</v>
      </c>
      <c r="D61" s="80">
        <v>117</v>
      </c>
      <c r="E61" s="79">
        <v>25</v>
      </c>
      <c r="F61" s="79">
        <v>24</v>
      </c>
      <c r="G61" s="80">
        <v>20</v>
      </c>
      <c r="H61" s="78"/>
      <c r="I61" s="79"/>
      <c r="J61" s="80">
        <v>125</v>
      </c>
      <c r="K61" s="79">
        <v>92</v>
      </c>
      <c r="L61" s="79">
        <v>87</v>
      </c>
      <c r="M61" s="80">
        <v>88</v>
      </c>
      <c r="N61" s="94">
        <v>65</v>
      </c>
      <c r="O61" s="79">
        <v>62</v>
      </c>
      <c r="P61" s="80">
        <v>58</v>
      </c>
    </row>
    <row r="62" spans="1:16" ht="15">
      <c r="A62" s="77"/>
      <c r="B62" s="72"/>
      <c r="C62" s="73"/>
      <c r="D62" s="74"/>
      <c r="E62" s="73"/>
      <c r="F62" s="73"/>
      <c r="G62" s="74"/>
      <c r="H62" s="72"/>
      <c r="I62" s="73"/>
      <c r="J62" s="74"/>
      <c r="K62" s="73"/>
      <c r="L62" s="73"/>
      <c r="M62" s="74"/>
      <c r="N62" s="75"/>
      <c r="O62" s="73"/>
      <c r="P62" s="74"/>
    </row>
    <row r="63" spans="1:16" ht="15">
      <c r="A63" s="71" t="s">
        <v>118</v>
      </c>
      <c r="B63" s="72"/>
      <c r="C63" s="73"/>
      <c r="D63" s="74"/>
      <c r="E63" s="73"/>
      <c r="F63" s="73"/>
      <c r="G63" s="74"/>
      <c r="H63" s="72"/>
      <c r="I63" s="73"/>
      <c r="J63" s="74"/>
      <c r="K63" s="73"/>
      <c r="L63" s="73"/>
      <c r="M63" s="74"/>
      <c r="N63" s="75"/>
      <c r="O63" s="73"/>
      <c r="P63" s="74"/>
    </row>
    <row r="64" spans="1:16" ht="15">
      <c r="A64" s="77" t="s">
        <v>119</v>
      </c>
      <c r="B64" s="72"/>
      <c r="C64" s="73"/>
      <c r="D64" s="74"/>
      <c r="E64" s="73">
        <v>19.72</v>
      </c>
      <c r="F64" s="73">
        <v>21.57</v>
      </c>
      <c r="G64" s="74">
        <v>19.63</v>
      </c>
      <c r="H64" s="72"/>
      <c r="I64" s="73"/>
      <c r="J64" s="74">
        <v>3.91</v>
      </c>
      <c r="K64" s="73">
        <v>2.47</v>
      </c>
      <c r="L64" s="73">
        <v>3.7</v>
      </c>
      <c r="M64" s="74">
        <v>2.01</v>
      </c>
      <c r="N64" s="75">
        <v>1.8</v>
      </c>
      <c r="O64" s="73"/>
      <c r="P64" s="74">
        <v>0.34</v>
      </c>
    </row>
    <row r="65" spans="1:16" ht="15">
      <c r="A65" s="77" t="s">
        <v>120</v>
      </c>
      <c r="B65" s="81"/>
      <c r="C65" s="82"/>
      <c r="D65" s="83"/>
      <c r="E65" s="82">
        <v>14.13</v>
      </c>
      <c r="F65" s="82">
        <v>21.84</v>
      </c>
      <c r="G65" s="83">
        <v>15.16</v>
      </c>
      <c r="H65" s="81"/>
      <c r="I65" s="73"/>
      <c r="J65" s="83">
        <v>5.29</v>
      </c>
      <c r="K65" s="82">
        <v>2.27</v>
      </c>
      <c r="L65" s="82">
        <v>4.96</v>
      </c>
      <c r="M65" s="83">
        <v>1.77</v>
      </c>
      <c r="N65" s="95">
        <v>0.02</v>
      </c>
      <c r="O65" s="82"/>
      <c r="P65" s="83"/>
    </row>
    <row r="66" spans="1:16" ht="15">
      <c r="A66" s="77" t="s">
        <v>121</v>
      </c>
      <c r="B66" s="81"/>
      <c r="C66" s="82"/>
      <c r="D66" s="83"/>
      <c r="E66" s="82">
        <v>21.94</v>
      </c>
      <c r="F66" s="82">
        <v>30.95</v>
      </c>
      <c r="G66" s="83">
        <v>22.62</v>
      </c>
      <c r="H66" s="81"/>
      <c r="I66" s="82"/>
      <c r="J66" s="83">
        <v>26.72</v>
      </c>
      <c r="K66" s="82">
        <v>4.1</v>
      </c>
      <c r="L66" s="82">
        <v>9</v>
      </c>
      <c r="M66" s="83">
        <v>3.61</v>
      </c>
      <c r="N66" s="95">
        <v>0.03</v>
      </c>
      <c r="O66" s="82"/>
      <c r="P66" s="83">
        <v>0.01</v>
      </c>
    </row>
    <row r="67" spans="1:16" ht="15">
      <c r="A67" s="77"/>
      <c r="B67" s="81"/>
      <c r="C67" s="82"/>
      <c r="D67" s="83"/>
      <c r="E67" s="82"/>
      <c r="F67" s="82"/>
      <c r="G67" s="83"/>
      <c r="H67" s="81"/>
      <c r="I67" s="82"/>
      <c r="J67" s="83"/>
      <c r="K67" s="82"/>
      <c r="L67" s="82"/>
      <c r="M67" s="83"/>
      <c r="N67" s="95"/>
      <c r="O67" s="82"/>
      <c r="P67" s="83"/>
    </row>
    <row r="68" spans="1:16" ht="15">
      <c r="A68" s="71" t="s">
        <v>131</v>
      </c>
      <c r="B68" s="81"/>
      <c r="C68" s="82"/>
      <c r="D68" s="83"/>
      <c r="E68" s="82"/>
      <c r="F68" s="82"/>
      <c r="G68" s="83"/>
      <c r="H68" s="81"/>
      <c r="I68" s="82"/>
      <c r="J68" s="83"/>
      <c r="K68" s="82"/>
      <c r="L68" s="82"/>
      <c r="M68" s="83"/>
      <c r="N68" s="95"/>
      <c r="O68" s="82"/>
      <c r="P68" s="83"/>
    </row>
    <row r="69" spans="1:16" ht="15">
      <c r="A69" s="77" t="s">
        <v>123</v>
      </c>
      <c r="B69" s="81">
        <v>0.25</v>
      </c>
      <c r="C69" s="82">
        <v>0.2</v>
      </c>
      <c r="D69" s="83">
        <v>0.14</v>
      </c>
      <c r="E69" s="82">
        <v>0.62</v>
      </c>
      <c r="F69" s="82">
        <v>0.74</v>
      </c>
      <c r="G69" s="83">
        <v>0.61</v>
      </c>
      <c r="H69" s="81"/>
      <c r="I69" s="82"/>
      <c r="J69" s="83">
        <v>0.15</v>
      </c>
      <c r="K69" s="82">
        <v>0.52</v>
      </c>
      <c r="L69" s="82">
        <v>0.52</v>
      </c>
      <c r="M69" s="83">
        <v>0.49</v>
      </c>
      <c r="N69" s="95">
        <v>0.56</v>
      </c>
      <c r="O69" s="82">
        <v>0.55</v>
      </c>
      <c r="P69" s="83">
        <v>0.54</v>
      </c>
    </row>
    <row r="70" spans="1:16" ht="15">
      <c r="A70" s="77" t="s">
        <v>124</v>
      </c>
      <c r="B70" s="81">
        <v>0.75</v>
      </c>
      <c r="C70" s="82">
        <v>0.8</v>
      </c>
      <c r="D70" s="83">
        <v>0.86</v>
      </c>
      <c r="E70" s="82">
        <v>0.38</v>
      </c>
      <c r="F70" s="82">
        <v>0.26</v>
      </c>
      <c r="G70" s="83">
        <v>0.39</v>
      </c>
      <c r="H70" s="81"/>
      <c r="I70" s="82"/>
      <c r="J70" s="83">
        <v>0.85</v>
      </c>
      <c r="K70" s="82">
        <v>0.48</v>
      </c>
      <c r="L70" s="82">
        <v>0.47</v>
      </c>
      <c r="M70" s="83">
        <v>0.52</v>
      </c>
      <c r="N70" s="95">
        <v>0.44</v>
      </c>
      <c r="O70" s="82">
        <v>0.45</v>
      </c>
      <c r="P70" s="83">
        <v>0.46</v>
      </c>
    </row>
    <row r="71" spans="1:16" ht="15">
      <c r="A71" s="77" t="s">
        <v>125</v>
      </c>
      <c r="B71" s="81">
        <v>0.86</v>
      </c>
      <c r="C71" s="82">
        <v>0.72</v>
      </c>
      <c r="D71" s="83">
        <v>0.77</v>
      </c>
      <c r="E71" s="82">
        <v>1.76</v>
      </c>
      <c r="F71" s="82">
        <v>2.14</v>
      </c>
      <c r="G71" s="83">
        <v>1.86</v>
      </c>
      <c r="H71" s="81"/>
      <c r="I71" s="82"/>
      <c r="J71" s="83">
        <v>0.28</v>
      </c>
      <c r="K71" s="82">
        <v>1.4</v>
      </c>
      <c r="L71" s="82">
        <v>1.42</v>
      </c>
      <c r="M71" s="83">
        <v>1.27</v>
      </c>
      <c r="N71" s="95">
        <v>0.94</v>
      </c>
      <c r="O71" s="82">
        <v>0.83</v>
      </c>
      <c r="P71" s="83">
        <v>0.84</v>
      </c>
    </row>
    <row r="72" spans="1:16" ht="15">
      <c r="A72" s="77" t="s">
        <v>126</v>
      </c>
      <c r="B72" s="81">
        <v>26.81</v>
      </c>
      <c r="C72" s="82">
        <v>20.22</v>
      </c>
      <c r="D72" s="83">
        <v>25.84</v>
      </c>
      <c r="E72" s="82">
        <v>33.91</v>
      </c>
      <c r="F72" s="82">
        <v>37.73</v>
      </c>
      <c r="G72" s="83">
        <v>44.99</v>
      </c>
      <c r="H72" s="81"/>
      <c r="I72" s="82"/>
      <c r="J72" s="83">
        <v>1.93</v>
      </c>
      <c r="K72" s="82">
        <v>1.78</v>
      </c>
      <c r="L72" s="82">
        <v>1.99</v>
      </c>
      <c r="M72" s="83">
        <v>1.84</v>
      </c>
      <c r="N72" s="95">
        <v>1.16</v>
      </c>
      <c r="O72" s="82">
        <v>0.89</v>
      </c>
      <c r="P72" s="83">
        <v>1.04</v>
      </c>
    </row>
    <row r="73" spans="1:16" ht="15">
      <c r="A73" s="77" t="s">
        <v>127</v>
      </c>
      <c r="B73" s="84"/>
      <c r="C73" s="85"/>
      <c r="D73" s="86"/>
      <c r="E73" s="85">
        <v>1.12</v>
      </c>
      <c r="F73" s="85">
        <v>0.74</v>
      </c>
      <c r="G73" s="86">
        <v>1.19</v>
      </c>
      <c r="H73" s="84"/>
      <c r="I73" s="85"/>
      <c r="J73" s="86">
        <v>8.92</v>
      </c>
      <c r="K73" s="85">
        <v>2.91</v>
      </c>
      <c r="L73" s="85">
        <v>1.55</v>
      </c>
      <c r="M73" s="86">
        <v>2.95</v>
      </c>
      <c r="N73" s="96">
        <v>5.63</v>
      </c>
      <c r="O73" s="85"/>
      <c r="P73" s="86">
        <v>7.11</v>
      </c>
    </row>
    <row r="74" spans="1:16" ht="15">
      <c r="A74" s="77" t="s">
        <v>128</v>
      </c>
      <c r="B74" s="81"/>
      <c r="C74" s="82"/>
      <c r="D74" s="83"/>
      <c r="E74" s="82">
        <v>19.14</v>
      </c>
      <c r="F74" s="82">
        <v>24.68</v>
      </c>
      <c r="G74" s="83">
        <v>27.51</v>
      </c>
      <c r="H74" s="81"/>
      <c r="I74" s="82"/>
      <c r="J74" s="83">
        <v>9.14</v>
      </c>
      <c r="K74" s="82">
        <v>10.71</v>
      </c>
      <c r="L74" s="82">
        <v>2.88</v>
      </c>
      <c r="M74" s="83">
        <v>1.95</v>
      </c>
      <c r="N74" s="95">
        <v>4.86</v>
      </c>
      <c r="O74" s="82">
        <v>4.23</v>
      </c>
      <c r="P74" s="83">
        <v>2.79</v>
      </c>
    </row>
    <row r="75" spans="1:16" ht="15">
      <c r="A75" s="77" t="s">
        <v>129</v>
      </c>
      <c r="B75" s="81">
        <v>2.96</v>
      </c>
      <c r="C75" s="82">
        <v>3.96</v>
      </c>
      <c r="D75" s="83">
        <v>6.14</v>
      </c>
      <c r="E75" s="82">
        <v>0.63</v>
      </c>
      <c r="F75" s="82">
        <v>0.35</v>
      </c>
      <c r="G75" s="83">
        <v>0.64</v>
      </c>
      <c r="H75" s="81"/>
      <c r="I75" s="82"/>
      <c r="J75" s="83">
        <v>5.73</v>
      </c>
      <c r="K75" s="82">
        <v>0.94</v>
      </c>
      <c r="L75" s="82">
        <v>0.91</v>
      </c>
      <c r="M75" s="83">
        <v>1.05</v>
      </c>
      <c r="N75" s="95">
        <v>0.79</v>
      </c>
      <c r="O75" s="82">
        <v>0.83</v>
      </c>
      <c r="P75" s="83">
        <v>0.85</v>
      </c>
    </row>
    <row r="76" spans="1:16" ht="15">
      <c r="A76" s="88"/>
      <c r="B76" s="89"/>
      <c r="C76" s="90"/>
      <c r="D76" s="91"/>
      <c r="E76" s="90"/>
      <c r="F76" s="90"/>
      <c r="G76" s="91"/>
      <c r="H76" s="89"/>
      <c r="I76" s="90"/>
      <c r="J76" s="91"/>
      <c r="K76" s="90"/>
      <c r="L76" s="90"/>
      <c r="M76" s="91"/>
      <c r="N76" s="97"/>
      <c r="O76" s="90"/>
      <c r="P76" s="91"/>
    </row>
    <row r="77" spans="1:16" ht="15">
      <c r="A77" s="92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</row>
    <row r="78" spans="1:16" ht="15">
      <c r="A78" s="92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</row>
    <row r="79" spans="1:16" ht="15">
      <c r="A79" s="92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</row>
    <row r="80" spans="1:16" ht="15">
      <c r="A80" s="92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</row>
    <row r="81" spans="1:16" ht="15">
      <c r="A81" s="92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</row>
    <row r="82" spans="1:16" ht="15">
      <c r="A82" s="92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</row>
    <row r="83" spans="1:16" ht="17.25">
      <c r="A83" s="59" t="s">
        <v>132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</row>
    <row r="84" spans="1:16" ht="17.2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</row>
    <row r="85" spans="1:16" ht="17.2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</row>
    <row r="86" spans="1:1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27.75" customHeight="1">
      <c r="A87" s="62"/>
      <c r="B87" s="63" t="s">
        <v>133</v>
      </c>
      <c r="C87" s="63"/>
      <c r="D87" s="63"/>
      <c r="E87" s="64" t="s">
        <v>134</v>
      </c>
      <c r="F87" s="64"/>
      <c r="G87" s="64"/>
      <c r="H87" s="65" t="s">
        <v>135</v>
      </c>
      <c r="I87" s="65"/>
      <c r="J87" s="65"/>
      <c r="K87" s="98"/>
      <c r="L87" s="98"/>
      <c r="M87" s="98"/>
      <c r="N87" s="36"/>
      <c r="O87" s="36"/>
      <c r="P87" s="36"/>
    </row>
    <row r="88" spans="1:16" ht="15">
      <c r="A88" s="67"/>
      <c r="B88" s="68">
        <v>40086</v>
      </c>
      <c r="C88" s="69">
        <v>40178</v>
      </c>
      <c r="D88" s="70">
        <v>40451</v>
      </c>
      <c r="E88" s="68">
        <v>40086</v>
      </c>
      <c r="F88" s="69">
        <v>40178</v>
      </c>
      <c r="G88" s="70">
        <v>40451</v>
      </c>
      <c r="H88" s="68">
        <v>40086</v>
      </c>
      <c r="I88" s="69">
        <v>40178</v>
      </c>
      <c r="J88" s="70">
        <v>40451</v>
      </c>
      <c r="K88" s="99"/>
      <c r="L88" s="100"/>
      <c r="M88" s="100"/>
      <c r="N88" s="100"/>
      <c r="O88" s="100"/>
      <c r="P88" s="100"/>
    </row>
    <row r="89" spans="1:16" ht="15">
      <c r="A89" s="71" t="s">
        <v>105</v>
      </c>
      <c r="B89" s="101"/>
      <c r="C89" s="102"/>
      <c r="D89" s="103"/>
      <c r="E89" s="104"/>
      <c r="F89" s="102"/>
      <c r="G89" s="105"/>
      <c r="H89" s="101"/>
      <c r="I89" s="102"/>
      <c r="J89" s="103"/>
      <c r="K89" s="106"/>
      <c r="L89" s="107"/>
      <c r="M89" s="107"/>
      <c r="N89" s="107"/>
      <c r="O89" s="107"/>
      <c r="P89" s="107"/>
    </row>
    <row r="90" spans="1:16" ht="15">
      <c r="A90" s="77" t="s">
        <v>106</v>
      </c>
      <c r="B90" s="72">
        <v>0.99</v>
      </c>
      <c r="C90" s="73">
        <v>1.04</v>
      </c>
      <c r="D90" s="74">
        <v>1.51</v>
      </c>
      <c r="E90" s="73">
        <v>1.14</v>
      </c>
      <c r="F90" s="73">
        <v>1.17</v>
      </c>
      <c r="G90" s="74">
        <v>1.17</v>
      </c>
      <c r="H90" s="73">
        <v>1.05</v>
      </c>
      <c r="I90" s="73">
        <v>1.03</v>
      </c>
      <c r="J90" s="74">
        <v>1.04</v>
      </c>
      <c r="K90" s="106"/>
      <c r="L90" s="107"/>
      <c r="M90" s="107"/>
      <c r="N90" s="107"/>
      <c r="O90" s="107"/>
      <c r="P90" s="107"/>
    </row>
    <row r="91" spans="1:16" ht="15">
      <c r="A91" s="77" t="s">
        <v>107</v>
      </c>
      <c r="B91" s="72">
        <v>0.76</v>
      </c>
      <c r="C91" s="73">
        <v>0.85</v>
      </c>
      <c r="D91" s="74">
        <v>1.31</v>
      </c>
      <c r="E91" s="73">
        <v>0.82</v>
      </c>
      <c r="F91" s="73">
        <v>0.87</v>
      </c>
      <c r="G91" s="74">
        <v>0.86</v>
      </c>
      <c r="H91" s="73">
        <v>0.86</v>
      </c>
      <c r="I91" s="73">
        <v>0.9</v>
      </c>
      <c r="J91" s="74">
        <v>0.78</v>
      </c>
      <c r="K91" s="106"/>
      <c r="L91" s="107"/>
      <c r="M91" s="107"/>
      <c r="N91" s="107"/>
      <c r="O91" s="107"/>
      <c r="P91" s="107"/>
    </row>
    <row r="92" spans="1:16" ht="15">
      <c r="A92" s="77" t="s">
        <v>108</v>
      </c>
      <c r="B92" s="72">
        <v>0.03</v>
      </c>
      <c r="C92" s="73">
        <v>0.04</v>
      </c>
      <c r="D92" s="74">
        <v>0.09</v>
      </c>
      <c r="E92" s="73">
        <v>0.03</v>
      </c>
      <c r="F92" s="73">
        <v>0.04</v>
      </c>
      <c r="G92" s="74">
        <v>0.02</v>
      </c>
      <c r="H92" s="73">
        <v>0.01</v>
      </c>
      <c r="I92" s="73">
        <v>0.05</v>
      </c>
      <c r="J92" s="74"/>
      <c r="K92" s="106"/>
      <c r="L92" s="107"/>
      <c r="M92" s="107"/>
      <c r="N92" s="107"/>
      <c r="O92" s="107"/>
      <c r="P92" s="107"/>
    </row>
    <row r="93" spans="1:16" ht="15">
      <c r="A93" s="77"/>
      <c r="B93" s="72"/>
      <c r="C93" s="73"/>
      <c r="D93" s="74"/>
      <c r="E93" s="73"/>
      <c r="F93" s="73"/>
      <c r="G93" s="74"/>
      <c r="H93" s="73"/>
      <c r="I93" s="73"/>
      <c r="J93" s="74"/>
      <c r="K93" s="106"/>
      <c r="L93" s="107"/>
      <c r="M93" s="107"/>
      <c r="N93" s="107"/>
      <c r="O93" s="107"/>
      <c r="P93" s="107"/>
    </row>
    <row r="94" spans="1:16" ht="15">
      <c r="A94" s="71" t="s">
        <v>109</v>
      </c>
      <c r="B94" s="72"/>
      <c r="C94" s="73"/>
      <c r="D94" s="74"/>
      <c r="E94" s="73"/>
      <c r="F94" s="73"/>
      <c r="G94" s="74"/>
      <c r="H94" s="73"/>
      <c r="I94" s="73"/>
      <c r="J94" s="74"/>
      <c r="K94" s="106"/>
      <c r="L94" s="107"/>
      <c r="M94" s="107"/>
      <c r="N94" s="107"/>
      <c r="O94" s="107"/>
      <c r="P94" s="107"/>
    </row>
    <row r="95" spans="1:16" ht="15">
      <c r="A95" s="77" t="s">
        <v>110</v>
      </c>
      <c r="B95" s="72"/>
      <c r="C95" s="73"/>
      <c r="D95" s="74"/>
      <c r="E95" s="73"/>
      <c r="F95" s="73"/>
      <c r="G95" s="74"/>
      <c r="H95" s="73"/>
      <c r="I95" s="73"/>
      <c r="J95" s="74"/>
      <c r="K95" s="106"/>
      <c r="L95" s="107"/>
      <c r="M95" s="107"/>
      <c r="N95" s="107"/>
      <c r="O95" s="107"/>
      <c r="P95" s="107"/>
    </row>
    <row r="96" spans="1:16" ht="15">
      <c r="A96" s="77" t="s">
        <v>111</v>
      </c>
      <c r="B96" s="78"/>
      <c r="C96" s="79"/>
      <c r="D96" s="80"/>
      <c r="E96" s="79"/>
      <c r="F96" s="79"/>
      <c r="G96" s="80"/>
      <c r="H96" s="79"/>
      <c r="I96" s="79"/>
      <c r="J96" s="80"/>
      <c r="K96" s="108"/>
      <c r="L96" s="109"/>
      <c r="M96" s="109"/>
      <c r="N96" s="109"/>
      <c r="O96" s="109"/>
      <c r="P96" s="109"/>
    </row>
    <row r="97" spans="1:16" ht="15">
      <c r="A97" s="77" t="s">
        <v>112</v>
      </c>
      <c r="B97" s="72">
        <v>4.45</v>
      </c>
      <c r="C97" s="73">
        <v>7.21</v>
      </c>
      <c r="D97" s="74">
        <v>8.84</v>
      </c>
      <c r="E97" s="73">
        <v>4.47</v>
      </c>
      <c r="F97" s="73">
        <v>6.52</v>
      </c>
      <c r="G97" s="74">
        <v>3.93</v>
      </c>
      <c r="H97" s="73">
        <v>4.04</v>
      </c>
      <c r="I97" s="73">
        <v>6.16</v>
      </c>
      <c r="J97" s="74">
        <v>2.91</v>
      </c>
      <c r="K97" s="106"/>
      <c r="L97" s="107"/>
      <c r="M97" s="107"/>
      <c r="N97" s="107"/>
      <c r="O97" s="107"/>
      <c r="P97" s="107"/>
    </row>
    <row r="98" spans="1:16" ht="15">
      <c r="A98" s="77" t="s">
        <v>113</v>
      </c>
      <c r="B98" s="78">
        <v>61</v>
      </c>
      <c r="C98" s="79">
        <v>51</v>
      </c>
      <c r="D98" s="80">
        <v>31</v>
      </c>
      <c r="E98" s="79">
        <v>61</v>
      </c>
      <c r="F98" s="79">
        <v>56</v>
      </c>
      <c r="G98" s="80">
        <v>69</v>
      </c>
      <c r="H98" s="79">
        <v>68</v>
      </c>
      <c r="I98" s="79">
        <v>59</v>
      </c>
      <c r="J98" s="80">
        <v>94</v>
      </c>
      <c r="K98" s="106"/>
      <c r="L98" s="107"/>
      <c r="M98" s="107"/>
      <c r="N98" s="107"/>
      <c r="O98" s="107"/>
      <c r="P98" s="107"/>
    </row>
    <row r="99" spans="1:16" ht="15">
      <c r="A99" s="77" t="s">
        <v>114</v>
      </c>
      <c r="B99" s="72">
        <v>1.95</v>
      </c>
      <c r="C99" s="73">
        <v>2.73</v>
      </c>
      <c r="D99" s="74">
        <v>3.02</v>
      </c>
      <c r="E99" s="73">
        <v>2.16</v>
      </c>
      <c r="F99" s="73">
        <v>3.28</v>
      </c>
      <c r="G99" s="74">
        <v>2.2</v>
      </c>
      <c r="H99" s="73">
        <v>1.17</v>
      </c>
      <c r="I99" s="73">
        <v>1.64</v>
      </c>
      <c r="J99" s="74">
        <v>1.01</v>
      </c>
      <c r="K99" s="110"/>
      <c r="L99" s="39"/>
      <c r="M99" s="39"/>
      <c r="N99" s="39"/>
      <c r="O99" s="39"/>
      <c r="P99" s="39"/>
    </row>
    <row r="100" spans="1:16" ht="15">
      <c r="A100" s="77" t="s">
        <v>115</v>
      </c>
      <c r="B100" s="78">
        <v>140</v>
      </c>
      <c r="C100" s="79">
        <v>134</v>
      </c>
      <c r="D100" s="80">
        <v>90</v>
      </c>
      <c r="E100" s="79">
        <v>126</v>
      </c>
      <c r="F100" s="79">
        <v>111</v>
      </c>
      <c r="G100" s="80">
        <v>124</v>
      </c>
      <c r="H100" s="79">
        <v>233</v>
      </c>
      <c r="I100" s="79">
        <v>222</v>
      </c>
      <c r="J100" s="80">
        <v>270</v>
      </c>
      <c r="K100" s="110"/>
      <c r="L100" s="39"/>
      <c r="M100" s="39"/>
      <c r="N100" s="39"/>
      <c r="O100" s="39"/>
      <c r="P100" s="39"/>
    </row>
    <row r="101" spans="1:16" ht="15">
      <c r="A101" s="77" t="s">
        <v>116</v>
      </c>
      <c r="B101" s="72">
        <v>1.06</v>
      </c>
      <c r="C101" s="73">
        <v>1.85</v>
      </c>
      <c r="D101" s="74">
        <v>1.78</v>
      </c>
      <c r="E101" s="73">
        <v>1.57</v>
      </c>
      <c r="F101" s="73">
        <v>2.36</v>
      </c>
      <c r="G101" s="74">
        <v>1.74</v>
      </c>
      <c r="H101" s="73">
        <v>1.12</v>
      </c>
      <c r="I101" s="73">
        <v>1.48</v>
      </c>
      <c r="J101" s="74">
        <v>1</v>
      </c>
      <c r="K101" s="106"/>
      <c r="L101" s="107"/>
      <c r="M101" s="107"/>
      <c r="N101" s="107"/>
      <c r="O101" s="107"/>
      <c r="P101" s="107"/>
    </row>
    <row r="102" spans="1:16" ht="15">
      <c r="A102" s="77" t="s">
        <v>117</v>
      </c>
      <c r="B102" s="78">
        <v>257</v>
      </c>
      <c r="C102" s="79">
        <v>197</v>
      </c>
      <c r="D102" s="80">
        <v>153</v>
      </c>
      <c r="E102" s="79">
        <v>174</v>
      </c>
      <c r="F102" s="79">
        <v>155</v>
      </c>
      <c r="G102" s="80">
        <v>157</v>
      </c>
      <c r="H102" s="79">
        <v>244</v>
      </c>
      <c r="I102" s="79">
        <v>247</v>
      </c>
      <c r="J102" s="80">
        <v>273</v>
      </c>
      <c r="K102" s="110"/>
      <c r="L102" s="39"/>
      <c r="M102" s="39"/>
      <c r="N102" s="39"/>
      <c r="O102" s="39"/>
      <c r="P102" s="39"/>
    </row>
    <row r="103" spans="1:16" ht="15">
      <c r="A103" s="77"/>
      <c r="B103" s="72"/>
      <c r="C103" s="73"/>
      <c r="D103" s="74"/>
      <c r="E103" s="73"/>
      <c r="F103" s="73"/>
      <c r="G103" s="74"/>
      <c r="H103" s="73"/>
      <c r="I103" s="73"/>
      <c r="J103" s="74"/>
      <c r="K103" s="106"/>
      <c r="L103" s="107"/>
      <c r="M103" s="107"/>
      <c r="N103" s="107"/>
      <c r="O103" s="107"/>
      <c r="P103" s="107"/>
    </row>
    <row r="104" spans="1:16" ht="15">
      <c r="A104" s="71" t="s">
        <v>118</v>
      </c>
      <c r="B104" s="72"/>
      <c r="C104" s="73"/>
      <c r="D104" s="74"/>
      <c r="E104" s="73"/>
      <c r="F104" s="73"/>
      <c r="G104" s="74"/>
      <c r="H104" s="73"/>
      <c r="I104" s="73"/>
      <c r="J104" s="74"/>
      <c r="K104" s="111"/>
      <c r="L104" s="112"/>
      <c r="M104" s="112"/>
      <c r="N104" s="112"/>
      <c r="O104" s="112"/>
      <c r="P104" s="112"/>
    </row>
    <row r="105" spans="1:16" ht="15">
      <c r="A105" s="77" t="s">
        <v>119</v>
      </c>
      <c r="B105" s="72">
        <v>0.42</v>
      </c>
      <c r="C105" s="73">
        <v>2.61</v>
      </c>
      <c r="D105" s="74">
        <v>13.43</v>
      </c>
      <c r="E105" s="73">
        <v>2.66</v>
      </c>
      <c r="F105" s="73">
        <v>2.67</v>
      </c>
      <c r="G105" s="74">
        <v>1.29</v>
      </c>
      <c r="H105" s="73">
        <v>1.63</v>
      </c>
      <c r="I105" s="73">
        <v>0.09</v>
      </c>
      <c r="J105" s="74">
        <v>0.27</v>
      </c>
      <c r="K105" s="110"/>
      <c r="L105" s="39"/>
      <c r="M105" s="39"/>
      <c r="N105" s="39"/>
      <c r="O105" s="39"/>
      <c r="P105" s="39"/>
    </row>
    <row r="106" spans="1:16" ht="15">
      <c r="A106" s="77" t="s">
        <v>120</v>
      </c>
      <c r="B106" s="81">
        <v>0.61</v>
      </c>
      <c r="C106" s="82">
        <v>4.1</v>
      </c>
      <c r="D106" s="83">
        <v>29.75</v>
      </c>
      <c r="E106" s="82">
        <v>3.92</v>
      </c>
      <c r="F106" s="82">
        <v>5.89</v>
      </c>
      <c r="G106" s="83">
        <v>1.85</v>
      </c>
      <c r="H106" s="82">
        <v>1.54</v>
      </c>
      <c r="I106" s="82">
        <v>0.12</v>
      </c>
      <c r="J106" s="83">
        <v>0.21</v>
      </c>
      <c r="K106" s="113"/>
      <c r="L106" s="60"/>
      <c r="M106" s="60"/>
      <c r="N106" s="60"/>
      <c r="O106" s="60"/>
      <c r="P106" s="60"/>
    </row>
    <row r="107" spans="1:16" ht="15">
      <c r="A107" s="77" t="s">
        <v>121</v>
      </c>
      <c r="B107" s="81">
        <v>191.64</v>
      </c>
      <c r="C107" s="82">
        <v>194.95</v>
      </c>
      <c r="D107" s="83">
        <v>155.36</v>
      </c>
      <c r="E107" s="82">
        <v>30.01</v>
      </c>
      <c r="F107" s="82">
        <v>38.27</v>
      </c>
      <c r="G107" s="83">
        <v>11</v>
      </c>
      <c r="H107" s="82">
        <v>27.13</v>
      </c>
      <c r="I107" s="82">
        <v>2.64</v>
      </c>
      <c r="J107" s="83">
        <v>5.31</v>
      </c>
      <c r="K107" s="113"/>
      <c r="L107" s="60"/>
      <c r="M107" s="60"/>
      <c r="N107" s="60"/>
      <c r="O107" s="60"/>
      <c r="P107" s="60"/>
    </row>
    <row r="108" spans="1:16" ht="15">
      <c r="A108" s="77"/>
      <c r="B108" s="81"/>
      <c r="C108" s="82"/>
      <c r="D108" s="83"/>
      <c r="E108" s="82"/>
      <c r="F108" s="82"/>
      <c r="G108" s="83"/>
      <c r="H108" s="82"/>
      <c r="I108" s="82"/>
      <c r="J108" s="83"/>
      <c r="K108" s="113"/>
      <c r="L108" s="60"/>
      <c r="M108" s="60"/>
      <c r="N108" s="60"/>
      <c r="O108" s="60"/>
      <c r="P108" s="60"/>
    </row>
    <row r="109" spans="1:16" ht="15">
      <c r="A109" s="71" t="s">
        <v>131</v>
      </c>
      <c r="B109" s="81"/>
      <c r="C109" s="82"/>
      <c r="D109" s="83"/>
      <c r="E109" s="82"/>
      <c r="F109" s="82"/>
      <c r="G109" s="83"/>
      <c r="H109" s="82"/>
      <c r="I109" s="82"/>
      <c r="J109" s="83"/>
      <c r="K109" s="114"/>
      <c r="L109" s="115"/>
      <c r="M109" s="115"/>
      <c r="N109" s="60"/>
      <c r="O109" s="60"/>
      <c r="P109" s="60"/>
    </row>
    <row r="110" spans="1:16" ht="15">
      <c r="A110" s="77" t="s">
        <v>123</v>
      </c>
      <c r="B110" s="81">
        <v>0.01</v>
      </c>
      <c r="C110" s="82">
        <v>0.05</v>
      </c>
      <c r="D110" s="83">
        <v>0.35</v>
      </c>
      <c r="E110" s="82">
        <v>0.15</v>
      </c>
      <c r="F110" s="82">
        <v>0.17</v>
      </c>
      <c r="G110" s="83">
        <v>0.17</v>
      </c>
      <c r="H110" s="82">
        <v>0.06</v>
      </c>
      <c r="I110" s="82">
        <v>0.04</v>
      </c>
      <c r="J110" s="83">
        <v>0.04</v>
      </c>
      <c r="K110" s="113"/>
      <c r="L110" s="60"/>
      <c r="M110" s="60"/>
      <c r="N110" s="60"/>
      <c r="O110" s="60"/>
      <c r="P110" s="60"/>
    </row>
    <row r="111" spans="1:16" ht="15">
      <c r="A111" s="77" t="s">
        <v>124</v>
      </c>
      <c r="B111" s="81">
        <v>0.99</v>
      </c>
      <c r="C111" s="82">
        <v>0.95</v>
      </c>
      <c r="D111" s="83">
        <v>0.65</v>
      </c>
      <c r="E111" s="82">
        <v>0.85</v>
      </c>
      <c r="F111" s="82">
        <v>0.83</v>
      </c>
      <c r="G111" s="83">
        <v>0.83</v>
      </c>
      <c r="H111" s="82">
        <v>0.94</v>
      </c>
      <c r="I111" s="82">
        <v>0.96</v>
      </c>
      <c r="J111" s="83">
        <v>0.96</v>
      </c>
      <c r="K111" s="113"/>
      <c r="L111" s="60"/>
      <c r="M111" s="60"/>
      <c r="N111" s="60"/>
      <c r="O111" s="60"/>
      <c r="P111" s="60"/>
    </row>
    <row r="112" spans="1:16" ht="15">
      <c r="A112" s="77" t="s">
        <v>125</v>
      </c>
      <c r="B112" s="81">
        <v>0.06</v>
      </c>
      <c r="C112" s="82">
        <v>0.28</v>
      </c>
      <c r="D112" s="83">
        <v>2.37</v>
      </c>
      <c r="E112" s="82">
        <v>0.5</v>
      </c>
      <c r="F112" s="82">
        <v>0.62</v>
      </c>
      <c r="G112" s="83">
        <v>0.45</v>
      </c>
      <c r="H112" s="82">
        <v>0.32</v>
      </c>
      <c r="I112" s="82">
        <v>0.9</v>
      </c>
      <c r="J112" s="83">
        <v>0.17</v>
      </c>
      <c r="K112" s="113"/>
      <c r="L112" s="60"/>
      <c r="M112" s="60"/>
      <c r="N112" s="60"/>
      <c r="O112" s="60"/>
      <c r="P112" s="60"/>
    </row>
    <row r="113" spans="1:16" ht="15">
      <c r="A113" s="77" t="s">
        <v>126</v>
      </c>
      <c r="B113" s="81">
        <v>0.66</v>
      </c>
      <c r="C113" s="82">
        <v>3.53</v>
      </c>
      <c r="D113" s="83">
        <v>16.75</v>
      </c>
      <c r="E113" s="82">
        <v>5.09</v>
      </c>
      <c r="F113" s="82">
        <v>6.3</v>
      </c>
      <c r="G113" s="83">
        <v>8.19</v>
      </c>
      <c r="H113" s="82">
        <v>3.33</v>
      </c>
      <c r="I113" s="82">
        <v>0.04</v>
      </c>
      <c r="J113" s="83">
        <v>6.18</v>
      </c>
      <c r="K113" s="113"/>
      <c r="L113" s="60"/>
      <c r="M113" s="60"/>
      <c r="N113" s="60"/>
      <c r="O113" s="60"/>
      <c r="P113" s="60"/>
    </row>
    <row r="114" spans="1:16" ht="15">
      <c r="A114" s="77" t="s">
        <v>127</v>
      </c>
      <c r="B114" s="81">
        <v>0.15</v>
      </c>
      <c r="C114" s="82"/>
      <c r="D114" s="83"/>
      <c r="E114" s="82"/>
      <c r="F114" s="82"/>
      <c r="G114" s="83"/>
      <c r="H114" s="85">
        <v>0.16</v>
      </c>
      <c r="I114" s="85">
        <v>0.18</v>
      </c>
      <c r="J114" s="86"/>
      <c r="K114" s="113"/>
      <c r="L114" s="60"/>
      <c r="M114" s="60"/>
      <c r="N114" s="60"/>
      <c r="O114" s="60"/>
      <c r="P114" s="60"/>
    </row>
    <row r="115" spans="1:16" ht="15">
      <c r="A115" s="77" t="s">
        <v>128</v>
      </c>
      <c r="B115" s="81">
        <v>7.23</v>
      </c>
      <c r="C115" s="82">
        <v>11.14</v>
      </c>
      <c r="D115" s="83"/>
      <c r="E115" s="82"/>
      <c r="F115" s="82"/>
      <c r="G115" s="83"/>
      <c r="H115" s="82">
        <v>87.53</v>
      </c>
      <c r="I115" s="82">
        <v>1.52</v>
      </c>
      <c r="J115" s="83"/>
      <c r="K115" s="113"/>
      <c r="L115" s="60"/>
      <c r="M115" s="60"/>
      <c r="N115" s="60"/>
      <c r="O115" s="60"/>
      <c r="P115" s="60"/>
    </row>
    <row r="116" spans="1:16" ht="15">
      <c r="A116" s="77" t="s">
        <v>129</v>
      </c>
      <c r="B116" s="81">
        <v>117.29</v>
      </c>
      <c r="C116" s="82">
        <v>18.02</v>
      </c>
      <c r="D116" s="83">
        <v>1.84</v>
      </c>
      <c r="E116" s="82">
        <v>5.57</v>
      </c>
      <c r="F116" s="82">
        <v>4.78</v>
      </c>
      <c r="G116" s="83">
        <v>5.03</v>
      </c>
      <c r="H116" s="82">
        <v>16.28</v>
      </c>
      <c r="I116" s="82">
        <v>25.56</v>
      </c>
      <c r="J116" s="83">
        <v>22.74</v>
      </c>
      <c r="K116" s="113"/>
      <c r="L116" s="60"/>
      <c r="M116" s="60"/>
      <c r="N116" s="60"/>
      <c r="O116" s="60"/>
      <c r="P116" s="60"/>
    </row>
    <row r="117" spans="1:16" ht="15">
      <c r="A117" s="88"/>
      <c r="B117" s="116"/>
      <c r="C117" s="117"/>
      <c r="D117" s="118"/>
      <c r="E117" s="90"/>
      <c r="F117" s="90"/>
      <c r="G117" s="91"/>
      <c r="H117" s="90"/>
      <c r="I117" s="90"/>
      <c r="J117" s="91"/>
      <c r="K117" s="113"/>
      <c r="L117" s="60"/>
      <c r="M117" s="60"/>
      <c r="N117" s="60"/>
      <c r="O117" s="60"/>
      <c r="P117" s="60"/>
    </row>
    <row r="120" ht="12.75">
      <c r="A120" t="s">
        <v>136</v>
      </c>
    </row>
    <row r="122" ht="12.75">
      <c r="A122" t="s">
        <v>137</v>
      </c>
    </row>
  </sheetData>
  <sheetProtection selectLockedCells="1" selectUnlockedCells="1"/>
  <mergeCells count="21">
    <mergeCell ref="A1:P1"/>
    <mergeCell ref="A4:P4"/>
    <mergeCell ref="B5:D5"/>
    <mergeCell ref="E5:G5"/>
    <mergeCell ref="H5:J5"/>
    <mergeCell ref="K5:M5"/>
    <mergeCell ref="N5:P5"/>
    <mergeCell ref="A42:P42"/>
    <mergeCell ref="A45:P45"/>
    <mergeCell ref="B46:D46"/>
    <mergeCell ref="E46:G46"/>
    <mergeCell ref="H46:J46"/>
    <mergeCell ref="K46:M46"/>
    <mergeCell ref="N46:P46"/>
    <mergeCell ref="A83:P83"/>
    <mergeCell ref="A86:P86"/>
    <mergeCell ref="B87:D87"/>
    <mergeCell ref="E87:G87"/>
    <mergeCell ref="H87:J87"/>
    <mergeCell ref="K87:M87"/>
    <mergeCell ref="N87:P8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2010-11-04T13:50:41Z</cp:lastPrinted>
  <dcterms:created xsi:type="dcterms:W3CDTF">2009-02-24T07:04:59Z</dcterms:created>
  <dcterms:modified xsi:type="dcterms:W3CDTF">2010-11-04T14:46:37Z</dcterms:modified>
  <cp:category/>
  <cp:version/>
  <cp:contentType/>
  <cp:contentStatus/>
  <cp:revision>1</cp:revision>
</cp:coreProperties>
</file>