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BU IX" sheetId="1" r:id="rId1"/>
    <sheet name="BS IX" sheetId="2" r:id="rId2"/>
    <sheet name="novcani tok" sheetId="3" r:id="rId3"/>
  </sheets>
  <definedNames/>
  <calcPr fullCalcOnLoad="1"/>
</workbook>
</file>

<file path=xl/sharedStrings.xml><?xml version="1.0" encoding="utf-8"?>
<sst xmlns="http://schemas.openxmlformats.org/spreadsheetml/2006/main" count="213" uniqueCount="107">
  <si>
    <t>u 000 din</t>
  </si>
  <si>
    <t>METALAC a.d.</t>
  </si>
  <si>
    <t>POSUĐE</t>
  </si>
  <si>
    <t>INKO</t>
  </si>
  <si>
    <t>PRINT</t>
  </si>
  <si>
    <t>BOJLER</t>
  </si>
  <si>
    <t>MARKET</t>
  </si>
  <si>
    <t>TRADE</t>
  </si>
  <si>
    <t>METALURGIJA</t>
  </si>
  <si>
    <t>PROLETER</t>
  </si>
  <si>
    <t>METROT</t>
  </si>
  <si>
    <t>MARKET-Podgorica</t>
  </si>
  <si>
    <t>PROMO-METAL</t>
  </si>
  <si>
    <t>u eur</t>
  </si>
  <si>
    <t>Stalna imovina</t>
  </si>
  <si>
    <t>Obrtna imovina</t>
  </si>
  <si>
    <t>Kapital</t>
  </si>
  <si>
    <t>Dugoročne obaveze</t>
  </si>
  <si>
    <t>Nematerijlna ulaganja,nekretnine i oprema</t>
  </si>
  <si>
    <t xml:space="preserve">Učešće u kapitalu                  </t>
  </si>
  <si>
    <t>AKTIVA</t>
  </si>
  <si>
    <t>PASIVA</t>
  </si>
  <si>
    <t>Osnovni kapital</t>
  </si>
  <si>
    <t>Ostali kapital</t>
  </si>
  <si>
    <t>Neraspoređena dobit</t>
  </si>
  <si>
    <t>Gubitak</t>
  </si>
  <si>
    <t>Dugoročna rezervisanja</t>
  </si>
  <si>
    <t>Dugoročni krediti</t>
  </si>
  <si>
    <t>Kratkoročne obaveze</t>
  </si>
  <si>
    <t>Obaveze iz poslovanja (dobavljači)</t>
  </si>
  <si>
    <t>Ostale obaveze</t>
  </si>
  <si>
    <t>Odložne poreske obaveze</t>
  </si>
  <si>
    <t>Rezerve</t>
  </si>
  <si>
    <t>Kratkoročni kreidti</t>
  </si>
  <si>
    <t>Gubitak iznad visine kapitala</t>
  </si>
  <si>
    <t>Ostale dugoročne obaveze (zajmovi)</t>
  </si>
  <si>
    <t>Dugoročni zajmovi ZD</t>
  </si>
  <si>
    <t>Potraživanja (kupci)</t>
  </si>
  <si>
    <t>Kratkoročni zajmovi ZD</t>
  </si>
  <si>
    <t>Krat. fin.plasmani (potrošački zajmovi)</t>
  </si>
  <si>
    <t>Zalihe</t>
  </si>
  <si>
    <t>Ostala potraživanja</t>
  </si>
  <si>
    <t>Gotovina i gotovinski ekvivalent</t>
  </si>
  <si>
    <t>POSLOVNI PRIHODI</t>
  </si>
  <si>
    <t>Prihod od prodaje</t>
  </si>
  <si>
    <t>Prihod od prodaje na domaćem tržištu</t>
  </si>
  <si>
    <t>Prihod od prodaje na ino. tržištu</t>
  </si>
  <si>
    <t>Prihod od aktiviranja učinaka i robe</t>
  </si>
  <si>
    <t>Povećanje vrednosti zaliha učinaka</t>
  </si>
  <si>
    <t>Smanjnje vrednosti zaliha učinaka</t>
  </si>
  <si>
    <t>Ostali poslovni prihodi</t>
  </si>
  <si>
    <t>POSLOVNI RASHODI</t>
  </si>
  <si>
    <t>Nabavna rvrednost prodate robe</t>
  </si>
  <si>
    <t>Troškovi materijala i energije</t>
  </si>
  <si>
    <t>Troškovi zarada i ostali lični rashodi</t>
  </si>
  <si>
    <t>Troškovi amortizacije</t>
  </si>
  <si>
    <t>Ostali poslovni rashodi</t>
  </si>
  <si>
    <t>POSLOVNI DOBITAK / GUBITAK</t>
  </si>
  <si>
    <t>FINANSIJSKI PRIHODI</t>
  </si>
  <si>
    <t>FINANSIJSKI RASHODI</t>
  </si>
  <si>
    <t>OSTALI PRIHODI</t>
  </si>
  <si>
    <t>OSTALI RASHODI</t>
  </si>
  <si>
    <t>FINANSIJSKI DOBITAK / GUBITAK</t>
  </si>
  <si>
    <t>OSTALI DOBITAK / GUBITAK</t>
  </si>
  <si>
    <t xml:space="preserve">DOBITAK / GUBITAK </t>
  </si>
  <si>
    <t>Tokovi gotovine iz poslovnih aktivnosti</t>
  </si>
  <si>
    <t>Prodaja i primljeni avansi</t>
  </si>
  <si>
    <t>Primljene kamate iz poslovnih aktivnosti</t>
  </si>
  <si>
    <t>Ostali prilivi iz redovnog poslovanja</t>
  </si>
  <si>
    <t>Isplate dobavljačima i dati avansi</t>
  </si>
  <si>
    <t>Zarade, naknade zarada i ostali lični rashodi</t>
  </si>
  <si>
    <t>Plaćene kamate</t>
  </si>
  <si>
    <t>Porez na dobitak</t>
  </si>
  <si>
    <t>Plaćanja po osnovu ostalih javnih prihoda</t>
  </si>
  <si>
    <t>Neto priliv/odliv iz poslovnih aktivnosti</t>
  </si>
  <si>
    <t>Tokovi gotovine iz aktivnosti investiranja</t>
  </si>
  <si>
    <t>Prodaja akcija i udela (neto priliv)</t>
  </si>
  <si>
    <t>Prodaja nekretnina, postrojenja i opreme</t>
  </si>
  <si>
    <t>Ostali finansijski plasmani (neto priliv)</t>
  </si>
  <si>
    <t>Primljene kamate</t>
  </si>
  <si>
    <t>Primljene dividende</t>
  </si>
  <si>
    <t>Kupovina akcija i udela (neto odliv)</t>
  </si>
  <si>
    <t>Kupovina nemater. ulaganja, nekretnina i opreme</t>
  </si>
  <si>
    <t>Ostali finansijski plasmnai (neto odliv)</t>
  </si>
  <si>
    <t>Neto priliv/odliv iz aktivnosti investiranja</t>
  </si>
  <si>
    <t>Tokovi gotovine iz aktivnosti finansiranja</t>
  </si>
  <si>
    <t>Dugoročni i kratkoročni krediti (neto priliv/odliv)</t>
  </si>
  <si>
    <t>Isplaćena dividenda i učešća u dobitku</t>
  </si>
  <si>
    <t>Finansijski lizing</t>
  </si>
  <si>
    <t>Neto odliv iz aktivnosti finansiranja</t>
  </si>
  <si>
    <t>Neto priliv/odliv gotovine</t>
  </si>
  <si>
    <t>Gotovina na početku obračunskog perioda</t>
  </si>
  <si>
    <t>Gotovina na kraju obračunskog perioda</t>
  </si>
  <si>
    <t xml:space="preserve"> </t>
  </si>
  <si>
    <t xml:space="preserve">Pozitivne kursne razlike </t>
  </si>
  <si>
    <t>METPOR</t>
  </si>
  <si>
    <t>Pozitivne(negativne) kusne razlike</t>
  </si>
  <si>
    <t>Uvećanje osnovnog kapitala</t>
  </si>
  <si>
    <t>Ostali finansijski plasmnai (neto priliv/odliv)</t>
  </si>
  <si>
    <t>BILANS USPEHA METALAC-GROUP ZA PERIOD JANUAR-SEPTEMBAR 2011.god (domaće)</t>
  </si>
  <si>
    <t>BILANS USPEHA METALAC-GROUP ZA PERIOD JANUAR-SEPTEMBAR 2011.god (ino)</t>
  </si>
  <si>
    <t>BILANS STANJA METALAC-GROUP ZA PERIOD JANUAR-SEPTEMBAR 2011.god (ino)</t>
  </si>
  <si>
    <t>BILANS STANJA METALAC-GROUP ZA PERIOD JANUAR-SEPTEMBAR 2011.god (domaće)</t>
  </si>
  <si>
    <t>IZVEŠTAJ O TOKOVIMA GOTOVINE METALAC GROUP ZA PERIOD JANUAR-SEPTEMBAR 2011.god.(ino)</t>
  </si>
  <si>
    <t>IZVEŠTAJ O TOKOVIMA GOTOVINE METALAC GROUP ZA PERIOD JANUAR-SEPTEMBAR 2011.god.(domaće)</t>
  </si>
  <si>
    <t>GENERALNI DIREKTOR</t>
  </si>
  <si>
    <t>Petrašin Jakovljević, dipl. ing.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</si>
</sst>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;[Red]#,##0"/>
    <numFmt numFmtId="176" formatCode="#,##0;[Black]\(#,##0\)"/>
  </numFmts>
  <fonts count="44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3" fillId="0" borderId="13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3" fontId="4" fillId="0" borderId="13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top" wrapText="1"/>
    </xf>
    <xf numFmtId="176" fontId="4" fillId="0" borderId="10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7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176" fontId="3" fillId="0" borderId="18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76" fontId="4" fillId="0" borderId="13" xfId="0" applyNumberFormat="1" applyFont="1" applyBorder="1" applyAlignment="1">
      <alignment horizontal="right" vertical="center" wrapText="1"/>
    </xf>
    <xf numFmtId="176" fontId="3" fillId="0" borderId="22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3" fontId="4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23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28">
      <selection activeCell="B41" sqref="B41:D41"/>
    </sheetView>
  </sheetViews>
  <sheetFormatPr defaultColWidth="9.140625" defaultRowHeight="12.75"/>
  <cols>
    <col min="1" max="1" width="34.00390625" style="39" customWidth="1"/>
    <col min="2" max="2" width="10.8515625" style="39" customWidth="1"/>
    <col min="3" max="3" width="8.8515625" style="39" customWidth="1"/>
    <col min="4" max="4" width="8.28125" style="39" customWidth="1"/>
    <col min="5" max="5" width="9.57421875" style="39" customWidth="1"/>
    <col min="6" max="6" width="9.28125" style="39" customWidth="1"/>
    <col min="7" max="7" width="9.57421875" style="39" customWidth="1"/>
    <col min="8" max="8" width="9.00390625" style="39" customWidth="1"/>
    <col min="9" max="9" width="9.57421875" style="39" customWidth="1"/>
    <col min="10" max="10" width="12.28125" style="39" customWidth="1"/>
    <col min="11" max="11" width="10.7109375" style="39" customWidth="1"/>
    <col min="12" max="16384" width="9.140625" style="39" customWidth="1"/>
  </cols>
  <sheetData>
    <row r="1" spans="1:9" ht="14.25" customHeight="1">
      <c r="A1" s="58" t="s">
        <v>99</v>
      </c>
      <c r="B1" s="58"/>
      <c r="C1" s="58"/>
      <c r="D1" s="58"/>
      <c r="E1" s="58"/>
      <c r="F1" s="58"/>
      <c r="G1" s="58"/>
      <c r="H1" s="58"/>
      <c r="I1" s="48"/>
    </row>
    <row r="2" spans="1:9" ht="14.25" customHeight="1">
      <c r="A2" s="59"/>
      <c r="B2" s="59"/>
      <c r="C2" s="59"/>
      <c r="D2" s="59"/>
      <c r="E2" s="59"/>
      <c r="F2" s="59"/>
      <c r="G2" s="59"/>
      <c r="H2" s="59"/>
      <c r="I2" s="49"/>
    </row>
    <row r="3" spans="1:11" ht="16.5" customHeight="1" thickBot="1">
      <c r="A3" s="1"/>
      <c r="B3" s="1"/>
      <c r="C3" s="40"/>
      <c r="D3" s="25"/>
      <c r="E3" s="25"/>
      <c r="F3" s="25"/>
      <c r="G3" s="41"/>
      <c r="H3" s="41"/>
      <c r="I3" s="41"/>
      <c r="K3" s="44" t="s">
        <v>0</v>
      </c>
    </row>
    <row r="4" spans="1:11" ht="16.5" customHeight="1">
      <c r="A4" s="10"/>
      <c r="B4" s="55" t="s">
        <v>1</v>
      </c>
      <c r="C4" s="56" t="s">
        <v>2</v>
      </c>
      <c r="D4" s="56" t="s">
        <v>3</v>
      </c>
      <c r="E4" s="56" t="s">
        <v>4</v>
      </c>
      <c r="F4" s="56" t="s">
        <v>5</v>
      </c>
      <c r="G4" s="56" t="s">
        <v>6</v>
      </c>
      <c r="H4" s="56" t="s">
        <v>7</v>
      </c>
      <c r="I4" s="56" t="s">
        <v>95</v>
      </c>
      <c r="J4" s="56" t="s">
        <v>8</v>
      </c>
      <c r="K4" s="57" t="s">
        <v>9</v>
      </c>
    </row>
    <row r="5" spans="1:11" ht="12.75" customHeight="1">
      <c r="A5" s="11" t="s">
        <v>43</v>
      </c>
      <c r="B5" s="5">
        <f aca="true" t="shared" si="0" ref="B5:K5">B7+B11+B12-B13+B14</f>
        <v>478180</v>
      </c>
      <c r="C5" s="5">
        <f t="shared" si="0"/>
        <v>1676079</v>
      </c>
      <c r="D5" s="5">
        <f t="shared" si="0"/>
        <v>128953</v>
      </c>
      <c r="E5" s="5">
        <f t="shared" si="0"/>
        <v>217622</v>
      </c>
      <c r="F5" s="5">
        <f t="shared" si="0"/>
        <v>254844</v>
      </c>
      <c r="G5" s="5">
        <f t="shared" si="0"/>
        <v>515184</v>
      </c>
      <c r="H5" s="5">
        <f t="shared" si="0"/>
        <v>220470</v>
      </c>
      <c r="I5" s="5">
        <f t="shared" si="0"/>
        <v>35464</v>
      </c>
      <c r="J5" s="5">
        <f t="shared" si="0"/>
        <v>506503</v>
      </c>
      <c r="K5" s="5">
        <f t="shared" si="0"/>
        <v>469582</v>
      </c>
    </row>
    <row r="6" spans="1:11" ht="12.75" customHeight="1">
      <c r="A6" s="13"/>
      <c r="B6" s="3"/>
      <c r="C6" s="3"/>
      <c r="D6" s="3"/>
      <c r="E6" s="3"/>
      <c r="F6" s="3"/>
      <c r="G6" s="3"/>
      <c r="H6" s="3"/>
      <c r="I6" s="3"/>
      <c r="J6" s="3"/>
      <c r="K6" s="14"/>
    </row>
    <row r="7" spans="1:11" ht="12.75" customHeight="1">
      <c r="A7" s="11" t="s">
        <v>44</v>
      </c>
      <c r="B7" s="4">
        <f aca="true" t="shared" si="1" ref="B7:K7">SUM(B8:B9)</f>
        <v>245093</v>
      </c>
      <c r="C7" s="4">
        <f t="shared" si="1"/>
        <v>1558552</v>
      </c>
      <c r="D7" s="4">
        <f t="shared" si="1"/>
        <v>122594</v>
      </c>
      <c r="E7" s="4">
        <f t="shared" si="1"/>
        <v>211325</v>
      </c>
      <c r="F7" s="4">
        <f t="shared" si="1"/>
        <v>256270</v>
      </c>
      <c r="G7" s="4">
        <v>512663</v>
      </c>
      <c r="H7" s="4">
        <f t="shared" si="1"/>
        <v>220405</v>
      </c>
      <c r="I7" s="4">
        <f t="shared" si="1"/>
        <v>33554</v>
      </c>
      <c r="J7" s="4">
        <f t="shared" si="1"/>
        <v>492430</v>
      </c>
      <c r="K7" s="15">
        <f t="shared" si="1"/>
        <v>440322</v>
      </c>
    </row>
    <row r="8" spans="1:11" ht="12.75" customHeight="1">
      <c r="A8" s="13" t="s">
        <v>45</v>
      </c>
      <c r="B8" s="3">
        <v>176646</v>
      </c>
      <c r="C8" s="3">
        <v>561403</v>
      </c>
      <c r="D8" s="3">
        <v>63791</v>
      </c>
      <c r="E8" s="3">
        <v>209001</v>
      </c>
      <c r="F8" s="3">
        <v>182324</v>
      </c>
      <c r="G8" s="3">
        <v>430041</v>
      </c>
      <c r="H8" s="3">
        <v>161424</v>
      </c>
      <c r="I8" s="3">
        <f>26335+6887</f>
        <v>33222</v>
      </c>
      <c r="J8" s="3">
        <v>492430</v>
      </c>
      <c r="K8" s="14">
        <v>440322</v>
      </c>
    </row>
    <row r="9" spans="1:11" ht="12.75" customHeight="1">
      <c r="A9" s="13" t="s">
        <v>46</v>
      </c>
      <c r="B9" s="3">
        <v>68447</v>
      </c>
      <c r="C9" s="3">
        <v>997149</v>
      </c>
      <c r="D9" s="3">
        <v>58803</v>
      </c>
      <c r="E9" s="3">
        <v>2324</v>
      </c>
      <c r="F9" s="3">
        <v>73946</v>
      </c>
      <c r="G9" s="3">
        <v>0</v>
      </c>
      <c r="H9" s="3">
        <v>58981</v>
      </c>
      <c r="I9" s="3">
        <v>332</v>
      </c>
      <c r="J9" s="3">
        <v>0</v>
      </c>
      <c r="K9" s="14">
        <v>0</v>
      </c>
    </row>
    <row r="10" spans="1:11" ht="12.75" customHeight="1">
      <c r="A10" s="13"/>
      <c r="B10" s="3"/>
      <c r="C10" s="3"/>
      <c r="D10" s="3"/>
      <c r="E10" s="3"/>
      <c r="F10" s="3"/>
      <c r="G10" s="3"/>
      <c r="H10" s="3"/>
      <c r="I10" s="3"/>
      <c r="J10" s="3"/>
      <c r="K10" s="14"/>
    </row>
    <row r="11" spans="1:11" ht="12.75" customHeight="1">
      <c r="A11" s="13" t="s">
        <v>47</v>
      </c>
      <c r="B11" s="3">
        <v>13339</v>
      </c>
      <c r="C11" s="3">
        <v>7529</v>
      </c>
      <c r="D11" s="3">
        <v>0</v>
      </c>
      <c r="E11" s="24">
        <v>0</v>
      </c>
      <c r="F11" s="3">
        <v>310</v>
      </c>
      <c r="G11" s="3">
        <v>11</v>
      </c>
      <c r="H11" s="3">
        <v>0</v>
      </c>
      <c r="I11" s="3">
        <v>0</v>
      </c>
      <c r="J11" s="3">
        <v>458</v>
      </c>
      <c r="K11" s="14">
        <v>730</v>
      </c>
    </row>
    <row r="12" spans="1:11" ht="12.75" customHeight="1">
      <c r="A12" s="13" t="s">
        <v>48</v>
      </c>
      <c r="B12" s="3">
        <v>0</v>
      </c>
      <c r="C12" s="3">
        <v>71897</v>
      </c>
      <c r="D12" s="3">
        <v>7832</v>
      </c>
      <c r="E12" s="3">
        <v>4080</v>
      </c>
      <c r="F12" s="24">
        <v>0</v>
      </c>
      <c r="G12" s="3">
        <v>0</v>
      </c>
      <c r="H12" s="3">
        <v>0</v>
      </c>
      <c r="I12" s="3">
        <v>177</v>
      </c>
      <c r="J12" s="3">
        <v>0</v>
      </c>
      <c r="K12" s="14">
        <v>0</v>
      </c>
    </row>
    <row r="13" spans="1:11" ht="12.75" customHeight="1">
      <c r="A13" s="13" t="s">
        <v>49</v>
      </c>
      <c r="B13" s="3">
        <v>0</v>
      </c>
      <c r="C13" s="24">
        <v>0</v>
      </c>
      <c r="D13" s="24">
        <v>1647</v>
      </c>
      <c r="E13" s="24">
        <v>0</v>
      </c>
      <c r="F13" s="24">
        <v>4288</v>
      </c>
      <c r="G13" s="3">
        <v>0</v>
      </c>
      <c r="H13" s="3">
        <v>0</v>
      </c>
      <c r="I13" s="3">
        <v>0</v>
      </c>
      <c r="J13" s="3">
        <v>0</v>
      </c>
      <c r="K13" s="14">
        <v>0</v>
      </c>
    </row>
    <row r="14" spans="1:11" ht="12.75" customHeight="1">
      <c r="A14" s="13" t="s">
        <v>50</v>
      </c>
      <c r="B14" s="3">
        <v>219748</v>
      </c>
      <c r="C14" s="3">
        <v>38101</v>
      </c>
      <c r="D14" s="3">
        <v>174</v>
      </c>
      <c r="E14" s="3">
        <v>2217</v>
      </c>
      <c r="F14" s="3">
        <v>2552</v>
      </c>
      <c r="G14" s="3">
        <v>2510</v>
      </c>
      <c r="H14" s="3">
        <v>65</v>
      </c>
      <c r="I14" s="3">
        <v>1733</v>
      </c>
      <c r="J14" s="3">
        <v>13615</v>
      </c>
      <c r="K14" s="14">
        <v>28530</v>
      </c>
    </row>
    <row r="15" spans="1:11" ht="12.75" customHeight="1">
      <c r="A15" s="13"/>
      <c r="B15" s="3"/>
      <c r="C15" s="3"/>
      <c r="D15" s="3"/>
      <c r="E15" s="3"/>
      <c r="F15" s="3"/>
      <c r="G15" s="4"/>
      <c r="H15" s="4"/>
      <c r="I15" s="4"/>
      <c r="J15" s="4"/>
      <c r="K15" s="15"/>
    </row>
    <row r="16" spans="1:11" ht="12.75" customHeight="1">
      <c r="A16" s="11" t="s">
        <v>51</v>
      </c>
      <c r="B16" s="4">
        <f aca="true" t="shared" si="2" ref="B16:K16">SUM(B18:B22)</f>
        <v>425681</v>
      </c>
      <c r="C16" s="4">
        <f t="shared" si="2"/>
        <v>1431120</v>
      </c>
      <c r="D16" s="4">
        <f t="shared" si="2"/>
        <v>132855</v>
      </c>
      <c r="E16" s="4">
        <f t="shared" si="2"/>
        <v>199638</v>
      </c>
      <c r="F16" s="4">
        <f t="shared" si="2"/>
        <v>249959</v>
      </c>
      <c r="G16" s="4">
        <f t="shared" si="2"/>
        <v>550587</v>
      </c>
      <c r="H16" s="4">
        <f t="shared" si="2"/>
        <v>164982</v>
      </c>
      <c r="I16" s="4">
        <f t="shared" si="2"/>
        <v>31653</v>
      </c>
      <c r="J16" s="4">
        <f t="shared" si="2"/>
        <v>500085</v>
      </c>
      <c r="K16" s="15">
        <f t="shared" si="2"/>
        <v>473214</v>
      </c>
    </row>
    <row r="17" spans="1:11" ht="12.75" customHeight="1">
      <c r="A17" s="13"/>
      <c r="B17" s="3"/>
      <c r="C17" s="3"/>
      <c r="D17" s="3"/>
      <c r="E17" s="3"/>
      <c r="F17" s="3"/>
      <c r="G17" s="3"/>
      <c r="H17" s="3"/>
      <c r="I17" s="3"/>
      <c r="J17" s="3"/>
      <c r="K17" s="14"/>
    </row>
    <row r="18" spans="1:11" ht="12.75" customHeight="1">
      <c r="A18" s="13" t="s">
        <v>52</v>
      </c>
      <c r="B18" s="3">
        <v>3514</v>
      </c>
      <c r="C18" s="3">
        <v>17678</v>
      </c>
      <c r="D18" s="3">
        <v>1979</v>
      </c>
      <c r="E18" s="3">
        <v>11805</v>
      </c>
      <c r="F18" s="3">
        <v>389</v>
      </c>
      <c r="G18" s="3">
        <v>415088</v>
      </c>
      <c r="H18" s="3">
        <v>124111</v>
      </c>
      <c r="I18" s="3">
        <v>19861</v>
      </c>
      <c r="J18" s="3">
        <v>406494</v>
      </c>
      <c r="K18" s="14">
        <v>372851</v>
      </c>
    </row>
    <row r="19" spans="1:11" ht="12.75" customHeight="1">
      <c r="A19" s="13" t="s">
        <v>53</v>
      </c>
      <c r="B19" s="3">
        <v>141970</v>
      </c>
      <c r="C19" s="3">
        <v>814893</v>
      </c>
      <c r="D19" s="3">
        <v>73940</v>
      </c>
      <c r="E19" s="3">
        <v>120596</v>
      </c>
      <c r="F19" s="3">
        <v>158201</v>
      </c>
      <c r="G19" s="3">
        <v>4403</v>
      </c>
      <c r="H19" s="3">
        <v>1638</v>
      </c>
      <c r="I19" s="3">
        <v>660</v>
      </c>
      <c r="J19" s="3">
        <v>9579</v>
      </c>
      <c r="K19" s="14">
        <v>15321</v>
      </c>
    </row>
    <row r="20" spans="1:11" ht="12.75" customHeight="1">
      <c r="A20" s="13" t="s">
        <v>54</v>
      </c>
      <c r="B20" s="3">
        <v>117612</v>
      </c>
      <c r="C20" s="3">
        <v>309498</v>
      </c>
      <c r="D20" s="3">
        <v>19923</v>
      </c>
      <c r="E20" s="3">
        <v>34540</v>
      </c>
      <c r="F20" s="3">
        <v>31797</v>
      </c>
      <c r="G20" s="3">
        <v>64343</v>
      </c>
      <c r="H20" s="3">
        <v>14260</v>
      </c>
      <c r="I20" s="3">
        <v>8186</v>
      </c>
      <c r="J20" s="3">
        <v>52295</v>
      </c>
      <c r="K20" s="14">
        <v>56564</v>
      </c>
    </row>
    <row r="21" spans="1:11" ht="12.75" customHeight="1">
      <c r="A21" s="13" t="s">
        <v>55</v>
      </c>
      <c r="B21" s="3">
        <v>77998</v>
      </c>
      <c r="C21" s="3">
        <v>16007</v>
      </c>
      <c r="D21" s="3">
        <v>9816</v>
      </c>
      <c r="E21" s="3">
        <v>462</v>
      </c>
      <c r="F21" s="3">
        <v>12407</v>
      </c>
      <c r="G21" s="3">
        <v>1082</v>
      </c>
      <c r="H21" s="3">
        <v>722</v>
      </c>
      <c r="I21" s="3">
        <v>335</v>
      </c>
      <c r="J21" s="3">
        <v>8033</v>
      </c>
      <c r="K21" s="14">
        <v>10004</v>
      </c>
    </row>
    <row r="22" spans="1:11" ht="12.75" customHeight="1">
      <c r="A22" s="13" t="s">
        <v>56</v>
      </c>
      <c r="B22" s="3">
        <v>84587</v>
      </c>
      <c r="C22" s="3">
        <v>273044</v>
      </c>
      <c r="D22" s="3">
        <v>27197</v>
      </c>
      <c r="E22" s="3">
        <v>32235</v>
      </c>
      <c r="F22" s="3">
        <v>47165</v>
      </c>
      <c r="G22" s="3">
        <v>65671</v>
      </c>
      <c r="H22" s="3">
        <v>24251</v>
      </c>
      <c r="I22" s="3">
        <v>2611</v>
      </c>
      <c r="J22" s="3">
        <v>23684</v>
      </c>
      <c r="K22" s="14">
        <v>18474</v>
      </c>
    </row>
    <row r="23" spans="1:11" ht="12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14"/>
    </row>
    <row r="24" spans="1:11" ht="12.75" customHeight="1">
      <c r="A24" s="11" t="s">
        <v>57</v>
      </c>
      <c r="B24" s="4">
        <f aca="true" t="shared" si="3" ref="B24:K24">SUM(B5-B16)</f>
        <v>52499</v>
      </c>
      <c r="C24" s="4">
        <f t="shared" si="3"/>
        <v>244959</v>
      </c>
      <c r="D24" s="26">
        <f t="shared" si="3"/>
        <v>-3902</v>
      </c>
      <c r="E24" s="26">
        <f t="shared" si="3"/>
        <v>17984</v>
      </c>
      <c r="F24" s="26">
        <f t="shared" si="3"/>
        <v>4885</v>
      </c>
      <c r="G24" s="26">
        <f t="shared" si="3"/>
        <v>-35403</v>
      </c>
      <c r="H24" s="26">
        <f t="shared" si="3"/>
        <v>55488</v>
      </c>
      <c r="I24" s="26">
        <f t="shared" si="3"/>
        <v>3811</v>
      </c>
      <c r="J24" s="26">
        <f t="shared" si="3"/>
        <v>6418</v>
      </c>
      <c r="K24" s="30">
        <f t="shared" si="3"/>
        <v>-3632</v>
      </c>
    </row>
    <row r="25" spans="1:11" ht="12.75" customHeight="1">
      <c r="A25" s="18"/>
      <c r="B25" s="3"/>
      <c r="C25" s="3"/>
      <c r="D25" s="3"/>
      <c r="E25" s="3"/>
      <c r="F25" s="3"/>
      <c r="G25" s="3"/>
      <c r="H25" s="3"/>
      <c r="I25" s="3"/>
      <c r="J25" s="3"/>
      <c r="K25" s="14"/>
    </row>
    <row r="26" spans="1:11" ht="12.75" customHeight="1">
      <c r="A26" s="23" t="s">
        <v>58</v>
      </c>
      <c r="B26" s="4">
        <v>283669</v>
      </c>
      <c r="C26" s="4">
        <v>53064</v>
      </c>
      <c r="D26" s="26">
        <v>2561</v>
      </c>
      <c r="E26" s="4">
        <v>785</v>
      </c>
      <c r="F26" s="4">
        <v>1659</v>
      </c>
      <c r="G26" s="4">
        <v>30924</v>
      </c>
      <c r="H26" s="4">
        <v>1036</v>
      </c>
      <c r="I26" s="4">
        <v>73</v>
      </c>
      <c r="J26" s="4">
        <v>6132</v>
      </c>
      <c r="K26" s="15">
        <v>1018</v>
      </c>
    </row>
    <row r="27" spans="1:11" ht="12.75" customHeight="1">
      <c r="A27" s="17"/>
      <c r="B27" s="3"/>
      <c r="C27" s="3"/>
      <c r="D27" s="3"/>
      <c r="E27" s="3"/>
      <c r="F27" s="3"/>
      <c r="G27" s="3"/>
      <c r="H27" s="3"/>
      <c r="I27" s="3"/>
      <c r="J27" s="3"/>
      <c r="K27" s="14"/>
    </row>
    <row r="28" spans="1:11" ht="12.75" customHeight="1">
      <c r="A28" s="11" t="s">
        <v>59</v>
      </c>
      <c r="B28" s="4">
        <v>11266</v>
      </c>
      <c r="C28" s="4">
        <v>122821</v>
      </c>
      <c r="D28" s="4">
        <v>9575</v>
      </c>
      <c r="E28" s="4">
        <v>3727</v>
      </c>
      <c r="F28" s="4">
        <v>13789</v>
      </c>
      <c r="G28" s="4">
        <v>7687</v>
      </c>
      <c r="H28" s="4">
        <v>10127</v>
      </c>
      <c r="I28" s="4">
        <v>1807</v>
      </c>
      <c r="J28" s="4">
        <v>6549</v>
      </c>
      <c r="K28" s="15">
        <v>5697</v>
      </c>
    </row>
    <row r="29" spans="1:11" ht="12.75" customHeight="1">
      <c r="A29" s="11"/>
      <c r="B29" s="4"/>
      <c r="C29" s="4"/>
      <c r="D29" s="4"/>
      <c r="E29" s="4"/>
      <c r="F29" s="4"/>
      <c r="G29" s="4"/>
      <c r="H29" s="4"/>
      <c r="I29" s="4"/>
      <c r="J29" s="4"/>
      <c r="K29" s="15"/>
    </row>
    <row r="30" spans="1:11" ht="12.75" customHeight="1">
      <c r="A30" s="11" t="s">
        <v>62</v>
      </c>
      <c r="B30" s="26">
        <f>SUM(B26-B28)</f>
        <v>272403</v>
      </c>
      <c r="C30" s="26">
        <f>SUM(C26-C28)</f>
        <v>-69757</v>
      </c>
      <c r="D30" s="26">
        <f aca="true" t="shared" si="4" ref="D30:K30">SUM(D26-D28)</f>
        <v>-7014</v>
      </c>
      <c r="E30" s="26">
        <f t="shared" si="4"/>
        <v>-2942</v>
      </c>
      <c r="F30" s="26">
        <f t="shared" si="4"/>
        <v>-12130</v>
      </c>
      <c r="G30" s="26">
        <f t="shared" si="4"/>
        <v>23237</v>
      </c>
      <c r="H30" s="26">
        <f t="shared" si="4"/>
        <v>-9091</v>
      </c>
      <c r="I30" s="26">
        <f t="shared" si="4"/>
        <v>-1734</v>
      </c>
      <c r="J30" s="26">
        <f t="shared" si="4"/>
        <v>-417</v>
      </c>
      <c r="K30" s="30">
        <f t="shared" si="4"/>
        <v>-4679</v>
      </c>
    </row>
    <row r="31" spans="1:11" ht="12.7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14"/>
    </row>
    <row r="32" spans="1:11" ht="12.75" customHeight="1">
      <c r="A32" s="11" t="s">
        <v>60</v>
      </c>
      <c r="B32" s="4">
        <v>1337</v>
      </c>
      <c r="C32" s="4">
        <v>0</v>
      </c>
      <c r="D32" s="4">
        <v>0</v>
      </c>
      <c r="E32" s="4">
        <v>0</v>
      </c>
      <c r="F32" s="4">
        <v>81</v>
      </c>
      <c r="G32" s="4">
        <v>6962</v>
      </c>
      <c r="H32" s="4">
        <v>350</v>
      </c>
      <c r="I32" s="4">
        <v>0</v>
      </c>
      <c r="J32" s="4">
        <v>3112</v>
      </c>
      <c r="K32" s="15">
        <v>5127</v>
      </c>
    </row>
    <row r="33" spans="1:11" ht="12.75" customHeight="1">
      <c r="A33" s="11"/>
      <c r="B33" s="4"/>
      <c r="C33" s="4"/>
      <c r="D33" s="4"/>
      <c r="E33" s="4"/>
      <c r="F33" s="4"/>
      <c r="G33" s="4"/>
      <c r="H33" s="4"/>
      <c r="I33" s="4"/>
      <c r="J33" s="4"/>
      <c r="K33" s="15"/>
    </row>
    <row r="34" spans="1:11" ht="12.75" customHeight="1">
      <c r="A34" s="11" t="s">
        <v>61</v>
      </c>
      <c r="B34" s="4">
        <v>2616</v>
      </c>
      <c r="C34" s="4">
        <v>17198</v>
      </c>
      <c r="D34" s="4">
        <v>805</v>
      </c>
      <c r="E34" s="4">
        <v>1132</v>
      </c>
      <c r="F34" s="4">
        <v>420</v>
      </c>
      <c r="G34" s="4">
        <v>2696</v>
      </c>
      <c r="H34" s="4">
        <v>5316</v>
      </c>
      <c r="I34" s="4">
        <v>17</v>
      </c>
      <c r="J34" s="4">
        <v>3443</v>
      </c>
      <c r="K34" s="15">
        <v>4134</v>
      </c>
    </row>
    <row r="35" spans="1:11" ht="12.75" customHeight="1">
      <c r="A35" s="11"/>
      <c r="B35" s="4"/>
      <c r="C35" s="4"/>
      <c r="D35" s="4"/>
      <c r="E35" s="4"/>
      <c r="F35" s="4"/>
      <c r="G35" s="4"/>
      <c r="H35" s="4"/>
      <c r="I35" s="4"/>
      <c r="J35" s="4"/>
      <c r="K35" s="15"/>
    </row>
    <row r="36" spans="1:11" ht="12.75" customHeight="1">
      <c r="A36" s="11" t="s">
        <v>63</v>
      </c>
      <c r="B36" s="26">
        <f>B32-B34</f>
        <v>-1279</v>
      </c>
      <c r="C36" s="26">
        <f>C32-C34</f>
        <v>-17198</v>
      </c>
      <c r="D36" s="26">
        <f aca="true" t="shared" si="5" ref="D36:K36">D32-D34</f>
        <v>-805</v>
      </c>
      <c r="E36" s="26">
        <f t="shared" si="5"/>
        <v>-1132</v>
      </c>
      <c r="F36" s="26">
        <f t="shared" si="5"/>
        <v>-339</v>
      </c>
      <c r="G36" s="26">
        <f t="shared" si="5"/>
        <v>4266</v>
      </c>
      <c r="H36" s="26">
        <f t="shared" si="5"/>
        <v>-4966</v>
      </c>
      <c r="I36" s="26">
        <f t="shared" si="5"/>
        <v>-17</v>
      </c>
      <c r="J36" s="26">
        <f t="shared" si="5"/>
        <v>-331</v>
      </c>
      <c r="K36" s="30">
        <f t="shared" si="5"/>
        <v>993</v>
      </c>
    </row>
    <row r="37" spans="1:11" ht="12.7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14"/>
    </row>
    <row r="38" spans="1:11" ht="12.75" customHeight="1" thickBot="1">
      <c r="A38" s="20" t="s">
        <v>64</v>
      </c>
      <c r="B38" s="21">
        <f>SUM(B24+B26+B32-B28-B34)</f>
        <v>323623</v>
      </c>
      <c r="C38" s="21">
        <f>SUM(C24+C26+C32-C28-C34)</f>
        <v>158004</v>
      </c>
      <c r="D38" s="27">
        <f aca="true" t="shared" si="6" ref="D38:K38">SUM(D24+D26+D32-D28-D34)</f>
        <v>-11721</v>
      </c>
      <c r="E38" s="27">
        <f t="shared" si="6"/>
        <v>13910</v>
      </c>
      <c r="F38" s="27">
        <f t="shared" si="6"/>
        <v>-7584</v>
      </c>
      <c r="G38" s="27">
        <f t="shared" si="6"/>
        <v>-7900</v>
      </c>
      <c r="H38" s="27">
        <f t="shared" si="6"/>
        <v>41431</v>
      </c>
      <c r="I38" s="27">
        <f t="shared" si="6"/>
        <v>2060</v>
      </c>
      <c r="J38" s="27">
        <f t="shared" si="6"/>
        <v>5670</v>
      </c>
      <c r="K38" s="31">
        <f t="shared" si="6"/>
        <v>-7318</v>
      </c>
    </row>
    <row r="39" spans="1:9" ht="16.5" customHeight="1">
      <c r="A39" s="58" t="s">
        <v>100</v>
      </c>
      <c r="B39" s="58"/>
      <c r="C39" s="58"/>
      <c r="D39" s="58"/>
      <c r="E39" s="58"/>
      <c r="F39" s="58"/>
      <c r="G39" s="58"/>
      <c r="H39" s="58"/>
      <c r="I39" s="48"/>
    </row>
    <row r="40" spans="1:5" ht="15.75" thickBot="1">
      <c r="A40" s="1"/>
      <c r="B40" s="1"/>
      <c r="C40" s="40"/>
      <c r="D40" s="32" t="s">
        <v>13</v>
      </c>
      <c r="E40" s="2"/>
    </row>
    <row r="41" spans="1:5" ht="21">
      <c r="A41" s="10"/>
      <c r="B41" s="54" t="s">
        <v>10</v>
      </c>
      <c r="C41" s="56" t="s">
        <v>11</v>
      </c>
      <c r="D41" s="57" t="s">
        <v>12</v>
      </c>
      <c r="E41" s="6"/>
    </row>
    <row r="42" spans="1:7" ht="12.75" customHeight="1">
      <c r="A42" s="11" t="s">
        <v>43</v>
      </c>
      <c r="B42" s="5">
        <f>SUM(B44+B48+B49+B51)</f>
        <v>4252390</v>
      </c>
      <c r="C42" s="5">
        <f>SUM(C44+C48+C49+C51)</f>
        <v>1361753</v>
      </c>
      <c r="D42" s="12">
        <f>SUM(D44+D48+D49+D51)</f>
        <v>654654</v>
      </c>
      <c r="E42" s="7"/>
      <c r="G42" s="43"/>
    </row>
    <row r="43" spans="1:5" ht="12.75" customHeight="1">
      <c r="A43" s="13"/>
      <c r="B43" s="3"/>
      <c r="C43" s="3"/>
      <c r="D43" s="14"/>
      <c r="E43" s="8"/>
    </row>
    <row r="44" spans="1:5" ht="12.75" customHeight="1">
      <c r="A44" s="11" t="s">
        <v>44</v>
      </c>
      <c r="B44" s="4">
        <f>SUM(B45:B46)</f>
        <v>4161051</v>
      </c>
      <c r="C44" s="4">
        <f>SUM(C45:C46)</f>
        <v>1361753</v>
      </c>
      <c r="D44" s="15">
        <f>SUM(D45:D46)</f>
        <v>654654</v>
      </c>
      <c r="E44" s="8"/>
    </row>
    <row r="45" spans="1:5" ht="12.75" customHeight="1">
      <c r="A45" s="13" t="s">
        <v>45</v>
      </c>
      <c r="B45" s="3">
        <v>3855811</v>
      </c>
      <c r="C45" s="3">
        <v>1361753</v>
      </c>
      <c r="D45" s="14">
        <v>654654</v>
      </c>
      <c r="E45" s="8"/>
    </row>
    <row r="46" spans="1:5" ht="12.75" customHeight="1">
      <c r="A46" s="13" t="s">
        <v>46</v>
      </c>
      <c r="B46" s="3">
        <v>305240</v>
      </c>
      <c r="C46" s="3">
        <v>0</v>
      </c>
      <c r="D46" s="14">
        <v>0</v>
      </c>
      <c r="E46" s="8"/>
    </row>
    <row r="47" spans="1:5" ht="12.75" customHeight="1">
      <c r="A47" s="13"/>
      <c r="B47" s="3"/>
      <c r="C47" s="3"/>
      <c r="D47" s="14"/>
      <c r="E47" s="8"/>
    </row>
    <row r="48" spans="1:5" ht="12.75" customHeight="1">
      <c r="A48" s="13" t="s">
        <v>47</v>
      </c>
      <c r="B48" s="3">
        <v>0</v>
      </c>
      <c r="C48" s="3">
        <v>0</v>
      </c>
      <c r="D48" s="14">
        <v>0</v>
      </c>
      <c r="E48" s="8"/>
    </row>
    <row r="49" spans="1:5" ht="12.75" customHeight="1">
      <c r="A49" s="13" t="s">
        <v>48</v>
      </c>
      <c r="B49" s="3">
        <v>0</v>
      </c>
      <c r="C49" s="3">
        <v>0</v>
      </c>
      <c r="D49" s="14">
        <v>0</v>
      </c>
      <c r="E49" s="8"/>
    </row>
    <row r="50" spans="1:5" ht="12.75" customHeight="1">
      <c r="A50" s="13" t="s">
        <v>49</v>
      </c>
      <c r="B50" s="3">
        <v>0</v>
      </c>
      <c r="C50" s="3">
        <v>0</v>
      </c>
      <c r="D50" s="14">
        <v>0</v>
      </c>
      <c r="E50" s="8"/>
    </row>
    <row r="51" spans="1:5" ht="12.75" customHeight="1">
      <c r="A51" s="13" t="s">
        <v>50</v>
      </c>
      <c r="B51" s="3">
        <v>91339</v>
      </c>
      <c r="C51" s="3">
        <v>0</v>
      </c>
      <c r="D51" s="14">
        <v>0</v>
      </c>
      <c r="E51" s="9"/>
    </row>
    <row r="52" spans="1:5" ht="12.75" customHeight="1">
      <c r="A52" s="13"/>
      <c r="B52" s="3"/>
      <c r="C52" s="3"/>
      <c r="D52" s="14"/>
      <c r="E52" s="8"/>
    </row>
    <row r="53" spans="1:5" ht="12.75" customHeight="1">
      <c r="A53" s="11" t="s">
        <v>51</v>
      </c>
      <c r="B53" s="4">
        <f>SUM(B55:B59)</f>
        <v>3826598</v>
      </c>
      <c r="C53" s="4">
        <f>SUM(C55:C59)</f>
        <v>1335837</v>
      </c>
      <c r="D53" s="15">
        <f>SUM(D55:D59)</f>
        <v>596031</v>
      </c>
      <c r="E53" s="8"/>
    </row>
    <row r="54" spans="1:5" ht="12.75" customHeight="1">
      <c r="A54" s="13"/>
      <c r="B54" s="3"/>
      <c r="C54" s="3"/>
      <c r="D54" s="14"/>
      <c r="E54" s="8"/>
    </row>
    <row r="55" spans="1:5" ht="12.75" customHeight="1">
      <c r="A55" s="13" t="s">
        <v>52</v>
      </c>
      <c r="B55" s="3">
        <v>2906763</v>
      </c>
      <c r="C55" s="3">
        <v>1087916</v>
      </c>
      <c r="D55" s="14">
        <v>434329</v>
      </c>
      <c r="E55" s="8"/>
    </row>
    <row r="56" spans="1:5" ht="12.75" customHeight="1">
      <c r="A56" s="13" t="s">
        <v>53</v>
      </c>
      <c r="B56" s="3">
        <v>96996</v>
      </c>
      <c r="C56" s="3">
        <v>0</v>
      </c>
      <c r="D56" s="14">
        <v>5874</v>
      </c>
      <c r="E56" s="8"/>
    </row>
    <row r="57" spans="1:5" ht="12.75" customHeight="1">
      <c r="A57" s="13" t="s">
        <v>54</v>
      </c>
      <c r="B57" s="3">
        <f>442883+26306</f>
        <v>469189</v>
      </c>
      <c r="C57" s="3">
        <v>136439</v>
      </c>
      <c r="D57" s="14">
        <v>82852</v>
      </c>
      <c r="E57" s="8"/>
    </row>
    <row r="58" spans="1:5" ht="12.75" customHeight="1">
      <c r="A58" s="13" t="s">
        <v>55</v>
      </c>
      <c r="B58" s="3">
        <v>17946</v>
      </c>
      <c r="C58" s="3">
        <v>5254</v>
      </c>
      <c r="D58" s="14">
        <v>4298</v>
      </c>
      <c r="E58" s="8"/>
    </row>
    <row r="59" spans="1:5" ht="12.75" customHeight="1">
      <c r="A59" s="13" t="s">
        <v>56</v>
      </c>
      <c r="B59" s="3">
        <f>220825+114879</f>
        <v>335704</v>
      </c>
      <c r="C59" s="3">
        <f>44563+61665</f>
        <v>106228</v>
      </c>
      <c r="D59" s="14">
        <f>34034+29431+5213</f>
        <v>68678</v>
      </c>
      <c r="E59" s="8"/>
    </row>
    <row r="60" spans="1:5" ht="12.75" customHeight="1">
      <c r="A60" s="13"/>
      <c r="B60" s="3"/>
      <c r="C60" s="3"/>
      <c r="D60" s="14"/>
      <c r="E60" s="8"/>
    </row>
    <row r="61" spans="1:5" ht="12.75" customHeight="1">
      <c r="A61" s="11" t="s">
        <v>57</v>
      </c>
      <c r="B61" s="4">
        <f>SUM(B42-B53)</f>
        <v>425792</v>
      </c>
      <c r="C61" s="26">
        <f>SUM(C42-C53)</f>
        <v>25916</v>
      </c>
      <c r="D61" s="15">
        <f>SUM(D42-D53)</f>
        <v>58623</v>
      </c>
      <c r="E61" s="8"/>
    </row>
    <row r="62" spans="1:5" ht="12.75" customHeight="1">
      <c r="A62" s="18"/>
      <c r="B62" s="3"/>
      <c r="C62" s="3"/>
      <c r="D62" s="14"/>
      <c r="E62" s="8"/>
    </row>
    <row r="63" spans="1:5" ht="12.75" customHeight="1">
      <c r="A63" s="23" t="s">
        <v>58</v>
      </c>
      <c r="B63" s="4">
        <v>69178</v>
      </c>
      <c r="C63" s="4">
        <v>196</v>
      </c>
      <c r="D63" s="15">
        <v>1221</v>
      </c>
      <c r="E63" s="9"/>
    </row>
    <row r="64" spans="1:5" ht="12.75" customHeight="1">
      <c r="A64" s="17"/>
      <c r="B64" s="3"/>
      <c r="C64" s="3"/>
      <c r="D64" s="14"/>
      <c r="E64" s="8"/>
    </row>
    <row r="65" spans="1:5" ht="12.75" customHeight="1">
      <c r="A65" s="11" t="s">
        <v>59</v>
      </c>
      <c r="B65" s="4">
        <v>128716</v>
      </c>
      <c r="C65" s="4">
        <v>0</v>
      </c>
      <c r="D65" s="15">
        <v>2138</v>
      </c>
      <c r="E65" s="8"/>
    </row>
    <row r="66" spans="1:7" ht="12.75" customHeight="1">
      <c r="A66" s="11"/>
      <c r="B66" s="3"/>
      <c r="C66" s="3"/>
      <c r="D66" s="14"/>
      <c r="E66" s="8"/>
      <c r="G66" s="43"/>
    </row>
    <row r="67" spans="1:5" ht="12.75" customHeight="1">
      <c r="A67" s="11" t="s">
        <v>62</v>
      </c>
      <c r="B67" s="26">
        <f>SUM(B63-B65)</f>
        <v>-59538</v>
      </c>
      <c r="C67" s="26">
        <f>SUM(C63-C65)</f>
        <v>196</v>
      </c>
      <c r="D67" s="30">
        <f>SUM(D63-D65)</f>
        <v>-917</v>
      </c>
      <c r="E67" s="8"/>
    </row>
    <row r="68" spans="1:5" ht="12.75" customHeight="1">
      <c r="A68" s="13"/>
      <c r="B68" s="3"/>
      <c r="C68" s="3"/>
      <c r="D68" s="14"/>
      <c r="E68" s="8"/>
    </row>
    <row r="69" spans="1:5" ht="12.75" customHeight="1">
      <c r="A69" s="11" t="s">
        <v>60</v>
      </c>
      <c r="B69" s="4">
        <v>18553</v>
      </c>
      <c r="C69" s="4">
        <v>8430</v>
      </c>
      <c r="D69" s="15">
        <v>1207</v>
      </c>
      <c r="E69" s="9"/>
    </row>
    <row r="70" spans="1:5" ht="12.75" customHeight="1">
      <c r="A70" s="11"/>
      <c r="B70" s="3"/>
      <c r="C70" s="3"/>
      <c r="D70" s="14"/>
      <c r="E70" s="8"/>
    </row>
    <row r="71" spans="1:5" ht="12.75" customHeight="1">
      <c r="A71" s="11" t="s">
        <v>61</v>
      </c>
      <c r="B71" s="28">
        <v>68509</v>
      </c>
      <c r="C71" s="28">
        <v>0</v>
      </c>
      <c r="D71" s="29">
        <v>60687</v>
      </c>
      <c r="E71" s="9"/>
    </row>
    <row r="72" spans="1:4" ht="12.75">
      <c r="A72" s="11"/>
      <c r="B72" s="45"/>
      <c r="C72" s="45"/>
      <c r="D72" s="46"/>
    </row>
    <row r="73" spans="1:4" ht="12.75">
      <c r="A73" s="11" t="s">
        <v>63</v>
      </c>
      <c r="B73" s="26">
        <f>SUM(B69-B71)</f>
        <v>-49956</v>
      </c>
      <c r="C73" s="26">
        <f>SUM(C69-C71)</f>
        <v>8430</v>
      </c>
      <c r="D73" s="30">
        <f>SUM(D69-D71)</f>
        <v>-59480</v>
      </c>
    </row>
    <row r="74" spans="1:4" ht="12.75">
      <c r="A74" s="13"/>
      <c r="B74" s="45"/>
      <c r="C74" s="45"/>
      <c r="D74" s="46"/>
    </row>
    <row r="75" spans="1:4" ht="13.5" thickBot="1">
      <c r="A75" s="20" t="s">
        <v>64</v>
      </c>
      <c r="B75" s="27">
        <f>B61+B63+B69-B65-B71</f>
        <v>316298</v>
      </c>
      <c r="C75" s="27">
        <f>C61+C63+C69-C65-C71</f>
        <v>34542</v>
      </c>
      <c r="D75" s="31">
        <f>D61+D63+D69-D65-D71</f>
        <v>-1774</v>
      </c>
    </row>
    <row r="77" ht="12.75">
      <c r="B77" s="43"/>
    </row>
  </sheetData>
  <sheetProtection/>
  <mergeCells count="3">
    <mergeCell ref="A1:H1"/>
    <mergeCell ref="A2:H2"/>
    <mergeCell ref="A39:H39"/>
  </mergeCells>
  <printOptions/>
  <pageMargins left="0.75" right="0.75" top="0.47" bottom="1" header="0.2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B44" sqref="B44:D44"/>
    </sheetView>
  </sheetViews>
  <sheetFormatPr defaultColWidth="9.140625" defaultRowHeight="12.75"/>
  <cols>
    <col min="1" max="1" width="32.8515625" style="39" customWidth="1"/>
    <col min="2" max="2" width="10.7109375" style="39" customWidth="1"/>
    <col min="3" max="3" width="9.8515625" style="39" customWidth="1"/>
    <col min="4" max="4" width="9.57421875" style="39" customWidth="1"/>
    <col min="5" max="5" width="9.140625" style="39" customWidth="1"/>
    <col min="6" max="6" width="9.421875" style="39" customWidth="1"/>
    <col min="7" max="8" width="9.28125" style="39" customWidth="1"/>
    <col min="9" max="9" width="9.140625" style="39" customWidth="1"/>
    <col min="10" max="10" width="12.28125" style="39" customWidth="1"/>
    <col min="11" max="11" width="10.7109375" style="39" customWidth="1"/>
    <col min="12" max="16384" width="9.140625" style="39" customWidth="1"/>
  </cols>
  <sheetData>
    <row r="1" spans="1:9" ht="14.25" customHeight="1">
      <c r="A1" s="58" t="s">
        <v>102</v>
      </c>
      <c r="B1" s="58"/>
      <c r="C1" s="58"/>
      <c r="D1" s="58"/>
      <c r="E1" s="58"/>
      <c r="F1" s="58"/>
      <c r="G1" s="58"/>
      <c r="H1" s="58"/>
      <c r="I1" s="48"/>
    </row>
    <row r="2" spans="1:9" ht="14.25" customHeight="1">
      <c r="A2" s="59"/>
      <c r="B2" s="59"/>
      <c r="C2" s="59"/>
      <c r="D2" s="59"/>
      <c r="E2" s="59"/>
      <c r="F2" s="59"/>
      <c r="G2" s="59"/>
      <c r="H2" s="59"/>
      <c r="I2" s="49"/>
    </row>
    <row r="3" spans="1:11" ht="16.5" customHeight="1" thickBot="1">
      <c r="A3" s="1"/>
      <c r="B3" s="1"/>
      <c r="C3" s="40"/>
      <c r="D3" s="40"/>
      <c r="E3" s="2"/>
      <c r="F3" s="41"/>
      <c r="G3" s="41"/>
      <c r="H3" s="41"/>
      <c r="I3" s="41"/>
      <c r="K3" s="42" t="s">
        <v>0</v>
      </c>
    </row>
    <row r="4" spans="1:11" ht="16.5" customHeight="1">
      <c r="A4" s="10"/>
      <c r="B4" s="55" t="s">
        <v>1</v>
      </c>
      <c r="C4" s="56" t="s">
        <v>2</v>
      </c>
      <c r="D4" s="56" t="s">
        <v>3</v>
      </c>
      <c r="E4" s="56" t="s">
        <v>4</v>
      </c>
      <c r="F4" s="56" t="s">
        <v>5</v>
      </c>
      <c r="G4" s="56" t="s">
        <v>6</v>
      </c>
      <c r="H4" s="56" t="s">
        <v>7</v>
      </c>
      <c r="I4" s="56" t="s">
        <v>95</v>
      </c>
      <c r="J4" s="56" t="s">
        <v>8</v>
      </c>
      <c r="K4" s="57" t="s">
        <v>9</v>
      </c>
    </row>
    <row r="5" spans="1:11" ht="12.75" customHeight="1">
      <c r="A5" s="11" t="s">
        <v>20</v>
      </c>
      <c r="B5" s="5">
        <f>SUM(B7+B12+B20)</f>
        <v>3318424</v>
      </c>
      <c r="C5" s="5">
        <f>SUM(C7+C12+C20)</f>
        <v>2542968</v>
      </c>
      <c r="D5" s="5">
        <f>SUM(D7+D12+D20)</f>
        <v>212821</v>
      </c>
      <c r="E5" s="5">
        <f>SUM(E7+E12+E20)</f>
        <v>155908</v>
      </c>
      <c r="F5" s="5">
        <f>SUM(F7+F12+F20)</f>
        <v>291043</v>
      </c>
      <c r="G5" s="5">
        <f>SUM(G7+G12)</f>
        <v>490185</v>
      </c>
      <c r="H5" s="5">
        <f>SUM(H7+H12)</f>
        <v>268981</v>
      </c>
      <c r="I5" s="5">
        <f>SUM(I7+I12)</f>
        <v>32597</v>
      </c>
      <c r="J5" s="5">
        <f>SUM(J7+J12)</f>
        <v>461156</v>
      </c>
      <c r="K5" s="12">
        <f>SUM(K7+K12)</f>
        <v>427942</v>
      </c>
    </row>
    <row r="6" spans="1:11" ht="12.75" customHeight="1">
      <c r="A6" s="13"/>
      <c r="B6" s="3"/>
      <c r="C6" s="3"/>
      <c r="D6" s="3"/>
      <c r="E6" s="3"/>
      <c r="F6" s="3"/>
      <c r="G6" s="3"/>
      <c r="H6" s="3"/>
      <c r="I6" s="3"/>
      <c r="J6" s="3"/>
      <c r="K6" s="14"/>
    </row>
    <row r="7" spans="1:11" ht="12.75" customHeight="1">
      <c r="A7" s="11" t="s">
        <v>14</v>
      </c>
      <c r="B7" s="4">
        <f>SUM(B8:B10)</f>
        <v>2612833</v>
      </c>
      <c r="C7" s="4">
        <f aca="true" t="shared" si="0" ref="C7:K7">SUM(C8:C10)</f>
        <v>109514</v>
      </c>
      <c r="D7" s="4">
        <f>SUM(D8:D10)</f>
        <v>67833</v>
      </c>
      <c r="E7" s="4">
        <f t="shared" si="0"/>
        <v>19392</v>
      </c>
      <c r="F7" s="4">
        <f t="shared" si="0"/>
        <v>72273</v>
      </c>
      <c r="G7" s="4">
        <f t="shared" si="0"/>
        <v>18911</v>
      </c>
      <c r="H7" s="4">
        <f t="shared" si="0"/>
        <v>3140</v>
      </c>
      <c r="I7" s="4">
        <f t="shared" si="0"/>
        <v>1817</v>
      </c>
      <c r="J7" s="4">
        <f t="shared" si="0"/>
        <v>115924</v>
      </c>
      <c r="K7" s="15">
        <f t="shared" si="0"/>
        <v>284764</v>
      </c>
    </row>
    <row r="8" spans="1:11" ht="12.75" customHeight="1">
      <c r="A8" s="13" t="s">
        <v>18</v>
      </c>
      <c r="B8" s="3">
        <f>1230+662079+592945</f>
        <v>1256254</v>
      </c>
      <c r="C8" s="3">
        <f>479+109035</f>
        <v>109514</v>
      </c>
      <c r="D8" s="3">
        <v>67833</v>
      </c>
      <c r="E8" s="3">
        <f>215+19177</f>
        <v>19392</v>
      </c>
      <c r="F8" s="3">
        <f>8+72265</f>
        <v>72273</v>
      </c>
      <c r="G8" s="3">
        <f>3+18908</f>
        <v>18911</v>
      </c>
      <c r="H8" s="3">
        <v>3140</v>
      </c>
      <c r="I8" s="3">
        <v>1817</v>
      </c>
      <c r="J8" s="3">
        <v>115253</v>
      </c>
      <c r="K8" s="14">
        <f>188198+111+95864</f>
        <v>284173</v>
      </c>
    </row>
    <row r="9" spans="1:11" ht="12.75" customHeight="1">
      <c r="A9" s="13" t="s">
        <v>19</v>
      </c>
      <c r="B9" s="3">
        <v>643977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14">
        <v>0</v>
      </c>
    </row>
    <row r="10" spans="1:11" ht="12.75" customHeight="1">
      <c r="A10" s="13" t="s">
        <v>36</v>
      </c>
      <c r="B10" s="50">
        <f>711892+710</f>
        <v>712602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671</v>
      </c>
      <c r="K10" s="14">
        <v>591</v>
      </c>
    </row>
    <row r="11" spans="1:11" ht="12.75" customHeight="1">
      <c r="A11" s="13"/>
      <c r="B11" s="3"/>
      <c r="C11" s="3"/>
      <c r="D11" s="3"/>
      <c r="E11" s="3"/>
      <c r="F11" s="3"/>
      <c r="G11" s="3"/>
      <c r="H11" s="3"/>
      <c r="I11" s="3"/>
      <c r="J11" s="3"/>
      <c r="K11" s="14"/>
    </row>
    <row r="12" spans="1:11" ht="12.75" customHeight="1">
      <c r="A12" s="11" t="s">
        <v>15</v>
      </c>
      <c r="B12" s="4">
        <f aca="true" t="shared" si="1" ref="B12:K12">SUM(B13:B18)</f>
        <v>705591</v>
      </c>
      <c r="C12" s="4">
        <f t="shared" si="1"/>
        <v>2433454</v>
      </c>
      <c r="D12" s="4">
        <f t="shared" si="1"/>
        <v>144988</v>
      </c>
      <c r="E12" s="4">
        <f t="shared" si="1"/>
        <v>136516</v>
      </c>
      <c r="F12" s="4">
        <f t="shared" si="1"/>
        <v>218770</v>
      </c>
      <c r="G12" s="4">
        <f t="shared" si="1"/>
        <v>471274</v>
      </c>
      <c r="H12" s="4">
        <f t="shared" si="1"/>
        <v>265841</v>
      </c>
      <c r="I12" s="4">
        <f t="shared" si="1"/>
        <v>30780</v>
      </c>
      <c r="J12" s="4">
        <f t="shared" si="1"/>
        <v>345232</v>
      </c>
      <c r="K12" s="15">
        <f t="shared" si="1"/>
        <v>143178</v>
      </c>
    </row>
    <row r="13" spans="1:11" ht="12.75" customHeight="1">
      <c r="A13" s="13" t="s">
        <v>40</v>
      </c>
      <c r="B13" s="3">
        <v>4670</v>
      </c>
      <c r="C13" s="3">
        <v>741516</v>
      </c>
      <c r="D13" s="3">
        <v>84190</v>
      </c>
      <c r="E13" s="3">
        <v>40980</v>
      </c>
      <c r="F13" s="3">
        <v>62236</v>
      </c>
      <c r="G13" s="3">
        <v>232680</v>
      </c>
      <c r="H13" s="3">
        <v>88625</v>
      </c>
      <c r="I13" s="3">
        <v>15435</v>
      </c>
      <c r="J13" s="3">
        <v>50572</v>
      </c>
      <c r="K13" s="14">
        <v>89881</v>
      </c>
    </row>
    <row r="14" spans="1:11" ht="12.75" customHeight="1">
      <c r="A14" s="13" t="s">
        <v>37</v>
      </c>
      <c r="B14" s="3">
        <v>442976</v>
      </c>
      <c r="C14" s="3">
        <v>921135</v>
      </c>
      <c r="D14" s="3">
        <v>50270</v>
      </c>
      <c r="E14" s="3">
        <v>91377</v>
      </c>
      <c r="F14" s="3">
        <v>98056</v>
      </c>
      <c r="G14" s="3">
        <v>6803</v>
      </c>
      <c r="H14" s="3">
        <v>138741</v>
      </c>
      <c r="I14" s="3">
        <v>13465</v>
      </c>
      <c r="J14" s="3">
        <v>224677</v>
      </c>
      <c r="K14" s="14">
        <v>20568</v>
      </c>
    </row>
    <row r="15" spans="1:11" ht="12.75" customHeight="1">
      <c r="A15" s="13" t="s">
        <v>39</v>
      </c>
      <c r="B15" s="3">
        <v>152473</v>
      </c>
      <c r="C15" s="3">
        <v>703527</v>
      </c>
      <c r="D15" s="3">
        <v>0</v>
      </c>
      <c r="E15" s="3">
        <v>0</v>
      </c>
      <c r="F15" s="3">
        <v>0</v>
      </c>
      <c r="G15" s="3">
        <v>187817</v>
      </c>
      <c r="H15" s="3">
        <v>0</v>
      </c>
      <c r="I15" s="3">
        <v>0</v>
      </c>
      <c r="J15" s="3">
        <v>60000</v>
      </c>
      <c r="K15" s="14">
        <v>1605</v>
      </c>
    </row>
    <row r="16" spans="1:11" ht="12.75" customHeight="1">
      <c r="A16" s="13" t="s">
        <v>38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4">
        <v>0</v>
      </c>
    </row>
    <row r="17" spans="1:11" ht="12.75" customHeight="1">
      <c r="A17" s="13" t="s">
        <v>41</v>
      </c>
      <c r="B17" s="3">
        <f>5916+8317</f>
        <v>14233</v>
      </c>
      <c r="C17" s="3">
        <f>15395+10495</f>
        <v>25890</v>
      </c>
      <c r="D17" s="3">
        <f>1729+1025</f>
        <v>2754</v>
      </c>
      <c r="E17" s="3">
        <f>1265+2108</f>
        <v>3373</v>
      </c>
      <c r="F17" s="3">
        <f>2286+1</f>
        <v>2287</v>
      </c>
      <c r="G17" s="3">
        <f>2897+1255</f>
        <v>4152</v>
      </c>
      <c r="H17" s="3">
        <f>3198+3467</f>
        <v>6665</v>
      </c>
      <c r="I17" s="3">
        <f>92+9</f>
        <v>101</v>
      </c>
      <c r="J17" s="3">
        <v>723</v>
      </c>
      <c r="K17" s="14">
        <f>12744+1264</f>
        <v>14008</v>
      </c>
    </row>
    <row r="18" spans="1:11" ht="12.75" customHeight="1">
      <c r="A18" s="16" t="s">
        <v>42</v>
      </c>
      <c r="B18" s="3">
        <v>91239</v>
      </c>
      <c r="C18" s="3">
        <v>41386</v>
      </c>
      <c r="D18" s="3">
        <v>7774</v>
      </c>
      <c r="E18" s="3">
        <v>786</v>
      </c>
      <c r="F18" s="3">
        <v>56191</v>
      </c>
      <c r="G18" s="3">
        <v>39822</v>
      </c>
      <c r="H18" s="3">
        <v>31810</v>
      </c>
      <c r="I18" s="3">
        <v>1779</v>
      </c>
      <c r="J18" s="3">
        <v>9260</v>
      </c>
      <c r="K18" s="14">
        <v>17116</v>
      </c>
    </row>
    <row r="19" spans="1:11" ht="12.75" customHeight="1">
      <c r="A19" s="13"/>
      <c r="B19" s="3"/>
      <c r="C19" s="3"/>
      <c r="D19" s="3"/>
      <c r="E19" s="3"/>
      <c r="F19" s="3"/>
      <c r="G19" s="4"/>
      <c r="H19" s="4"/>
      <c r="I19" s="4"/>
      <c r="J19" s="4"/>
      <c r="K19" s="15"/>
    </row>
    <row r="20" spans="1:11" ht="12.75" customHeight="1">
      <c r="A20" s="11" t="s">
        <v>34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15">
        <v>0</v>
      </c>
    </row>
    <row r="21" spans="1:11" ht="12.75" customHeight="1">
      <c r="A21" s="17"/>
      <c r="B21" s="3"/>
      <c r="C21" s="3"/>
      <c r="D21" s="3"/>
      <c r="E21" s="3"/>
      <c r="F21" s="3"/>
      <c r="G21" s="3"/>
      <c r="H21" s="3"/>
      <c r="I21" s="3"/>
      <c r="J21" s="3"/>
      <c r="K21" s="14"/>
    </row>
    <row r="22" spans="1:11" ht="12.75" customHeight="1">
      <c r="A22" s="11" t="s">
        <v>21</v>
      </c>
      <c r="B22" s="4">
        <f>SUM(B24+B31+B36+B41)</f>
        <v>3318424</v>
      </c>
      <c r="C22" s="4">
        <f aca="true" t="shared" si="2" ref="C22:K22">SUM(C24+C31+C36+C41)</f>
        <v>2542968</v>
      </c>
      <c r="D22" s="4">
        <f>SUM(D24+D31+D36+D41)</f>
        <v>212821</v>
      </c>
      <c r="E22" s="4">
        <f t="shared" si="2"/>
        <v>155908</v>
      </c>
      <c r="F22" s="4">
        <f t="shared" si="2"/>
        <v>291043</v>
      </c>
      <c r="G22" s="4">
        <f t="shared" si="2"/>
        <v>490185</v>
      </c>
      <c r="H22" s="4">
        <f>SUM(H24+H31+H36+H41)</f>
        <v>268981</v>
      </c>
      <c r="I22" s="4">
        <f>SUM(I24+I31+I36+I41)</f>
        <v>32597</v>
      </c>
      <c r="J22" s="4">
        <f t="shared" si="2"/>
        <v>461156</v>
      </c>
      <c r="K22" s="15">
        <f t="shared" si="2"/>
        <v>427942</v>
      </c>
    </row>
    <row r="23" spans="1:11" ht="12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14"/>
    </row>
    <row r="24" spans="1:11" ht="12.75" customHeight="1">
      <c r="A24" s="11" t="s">
        <v>16</v>
      </c>
      <c r="B24" s="4">
        <f aca="true" t="shared" si="3" ref="B24:K24">SUM(B25:B29)</f>
        <v>2648542</v>
      </c>
      <c r="C24" s="4">
        <f t="shared" si="3"/>
        <v>672613</v>
      </c>
      <c r="D24" s="4">
        <f t="shared" si="3"/>
        <v>6199</v>
      </c>
      <c r="E24" s="4">
        <f t="shared" si="3"/>
        <v>32331</v>
      </c>
      <c r="F24" s="4">
        <f t="shared" si="3"/>
        <v>21716</v>
      </c>
      <c r="G24" s="4">
        <f t="shared" si="3"/>
        <v>40349</v>
      </c>
      <c r="H24" s="4">
        <f t="shared" si="3"/>
        <v>178796</v>
      </c>
      <c r="I24" s="4">
        <f t="shared" si="3"/>
        <v>5932</v>
      </c>
      <c r="J24" s="4">
        <f t="shared" si="3"/>
        <v>204540</v>
      </c>
      <c r="K24" s="15">
        <f t="shared" si="3"/>
        <v>211025</v>
      </c>
    </row>
    <row r="25" spans="1:11" ht="12.75" customHeight="1">
      <c r="A25" s="13" t="s">
        <v>22</v>
      </c>
      <c r="B25" s="3">
        <v>408000</v>
      </c>
      <c r="C25" s="3">
        <v>225194</v>
      </c>
      <c r="D25" s="3">
        <v>22895</v>
      </c>
      <c r="E25" s="3">
        <v>9380</v>
      </c>
      <c r="F25" s="3">
        <v>72684</v>
      </c>
      <c r="G25" s="3">
        <v>124071</v>
      </c>
      <c r="H25" s="3">
        <v>263</v>
      </c>
      <c r="I25" s="3">
        <v>289</v>
      </c>
      <c r="J25" s="3">
        <v>118694</v>
      </c>
      <c r="K25" s="14">
        <v>77182</v>
      </c>
    </row>
    <row r="26" spans="1:11" ht="12.75" customHeight="1">
      <c r="A26" s="13" t="s">
        <v>23</v>
      </c>
      <c r="B26" s="3">
        <f>33899+4256</f>
        <v>38155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14">
        <v>75</v>
      </c>
    </row>
    <row r="27" spans="1:11" ht="12.75" customHeight="1">
      <c r="A27" s="13" t="s">
        <v>24</v>
      </c>
      <c r="B27" s="3">
        <f>2094753+17423</f>
        <v>2112176</v>
      </c>
      <c r="C27" s="3">
        <v>447419</v>
      </c>
      <c r="D27" s="3">
        <v>0</v>
      </c>
      <c r="E27" s="3">
        <v>22951</v>
      </c>
      <c r="F27" s="3">
        <v>0</v>
      </c>
      <c r="G27" s="3">
        <v>0</v>
      </c>
      <c r="H27" s="3">
        <v>178129</v>
      </c>
      <c r="I27" s="3">
        <v>5635</v>
      </c>
      <c r="J27" s="3">
        <v>85846</v>
      </c>
      <c r="K27" s="14">
        <v>141086</v>
      </c>
    </row>
    <row r="28" spans="1:11" ht="12.75" customHeight="1">
      <c r="A28" s="13" t="s">
        <v>32</v>
      </c>
      <c r="B28" s="3">
        <v>90211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404</v>
      </c>
      <c r="I28" s="3">
        <v>8</v>
      </c>
      <c r="J28" s="3">
        <v>0</v>
      </c>
      <c r="K28" s="14"/>
    </row>
    <row r="29" spans="1:11" ht="12.75" customHeight="1">
      <c r="A29" s="13" t="s">
        <v>25</v>
      </c>
      <c r="B29" s="3">
        <v>0</v>
      </c>
      <c r="C29" s="3">
        <v>0</v>
      </c>
      <c r="D29" s="24">
        <v>-16696</v>
      </c>
      <c r="E29" s="24">
        <v>0</v>
      </c>
      <c r="F29" s="24">
        <v>-50968</v>
      </c>
      <c r="G29" s="24">
        <v>-83722</v>
      </c>
      <c r="H29" s="3">
        <v>0</v>
      </c>
      <c r="I29" s="3">
        <v>0</v>
      </c>
      <c r="J29" s="3">
        <v>0</v>
      </c>
      <c r="K29" s="35">
        <v>-7318</v>
      </c>
    </row>
    <row r="30" spans="1:11" ht="12.7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14"/>
    </row>
    <row r="31" spans="1:11" ht="12.75" customHeight="1">
      <c r="A31" s="11" t="s">
        <v>17</v>
      </c>
      <c r="B31" s="4">
        <f aca="true" t="shared" si="4" ref="B31:K31">SUM(B32:B34)</f>
        <v>435201</v>
      </c>
      <c r="C31" s="4">
        <f t="shared" si="4"/>
        <v>534290</v>
      </c>
      <c r="D31" s="4">
        <f t="shared" si="4"/>
        <v>106384</v>
      </c>
      <c r="E31" s="4">
        <f t="shared" si="4"/>
        <v>3084</v>
      </c>
      <c r="F31" s="4">
        <f t="shared" si="4"/>
        <v>142314</v>
      </c>
      <c r="G31" s="4">
        <f t="shared" si="4"/>
        <v>8797</v>
      </c>
      <c r="H31" s="4">
        <f t="shared" si="4"/>
        <v>20681</v>
      </c>
      <c r="I31" s="4">
        <f t="shared" si="4"/>
        <v>0</v>
      </c>
      <c r="J31" s="4">
        <f t="shared" si="4"/>
        <v>19357</v>
      </c>
      <c r="K31" s="15">
        <f t="shared" si="4"/>
        <v>11965</v>
      </c>
    </row>
    <row r="32" spans="1:11" ht="12.75" customHeight="1">
      <c r="A32" s="18" t="s">
        <v>26</v>
      </c>
      <c r="B32" s="3">
        <v>44110</v>
      </c>
      <c r="C32" s="3">
        <v>39290</v>
      </c>
      <c r="D32" s="3">
        <v>775</v>
      </c>
      <c r="E32" s="3">
        <v>3084</v>
      </c>
      <c r="F32" s="3">
        <v>13614</v>
      </c>
      <c r="G32" s="3">
        <v>8797</v>
      </c>
      <c r="H32" s="3">
        <v>1532</v>
      </c>
      <c r="I32" s="3">
        <v>0</v>
      </c>
      <c r="J32" s="3">
        <v>14245</v>
      </c>
      <c r="K32" s="14">
        <v>11965</v>
      </c>
    </row>
    <row r="33" spans="1:11" ht="12.75" customHeight="1">
      <c r="A33" s="19" t="s">
        <v>27</v>
      </c>
      <c r="B33" s="3">
        <v>391091</v>
      </c>
      <c r="C33" s="3">
        <v>0</v>
      </c>
      <c r="D33" s="3">
        <v>36565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5112</v>
      </c>
      <c r="K33" s="14">
        <v>0</v>
      </c>
    </row>
    <row r="34" spans="1:11" ht="12.75" customHeight="1">
      <c r="A34" s="18" t="s">
        <v>35</v>
      </c>
      <c r="B34" s="3">
        <v>0</v>
      </c>
      <c r="C34" s="3">
        <v>495000</v>
      </c>
      <c r="D34" s="3">
        <v>69044</v>
      </c>
      <c r="E34" s="3">
        <v>0</v>
      </c>
      <c r="F34" s="3">
        <v>128700</v>
      </c>
      <c r="G34" s="3">
        <v>0</v>
      </c>
      <c r="H34" s="3">
        <v>19149</v>
      </c>
      <c r="I34" s="3">
        <v>0</v>
      </c>
      <c r="J34" s="3">
        <v>0</v>
      </c>
      <c r="K34" s="14">
        <v>0</v>
      </c>
    </row>
    <row r="35" spans="1:11" ht="12.75" customHeight="1">
      <c r="A35" s="17"/>
      <c r="B35" s="3"/>
      <c r="C35" s="3"/>
      <c r="D35" s="3"/>
      <c r="E35" s="3"/>
      <c r="F35" s="3"/>
      <c r="G35" s="3"/>
      <c r="H35" s="3"/>
      <c r="I35" s="3"/>
      <c r="J35" s="3"/>
      <c r="K35" s="14"/>
    </row>
    <row r="36" spans="1:11" ht="12.75" customHeight="1">
      <c r="A36" s="11" t="s">
        <v>28</v>
      </c>
      <c r="B36" s="4">
        <f>SUM(B37:B39)</f>
        <v>202733</v>
      </c>
      <c r="C36" s="4">
        <f aca="true" t="shared" si="5" ref="C36:K36">SUM(C37:C39)</f>
        <v>1334900</v>
      </c>
      <c r="D36" s="4">
        <f>SUM(D37:D39)</f>
        <v>99121</v>
      </c>
      <c r="E36" s="4">
        <f t="shared" si="5"/>
        <v>120422</v>
      </c>
      <c r="F36" s="4">
        <f t="shared" si="5"/>
        <v>125649</v>
      </c>
      <c r="G36" s="4">
        <f t="shared" si="5"/>
        <v>440948</v>
      </c>
      <c r="H36" s="4">
        <f>SUM(H37:H39)</f>
        <v>69490</v>
      </c>
      <c r="I36" s="4">
        <f>SUM(I37:I39)</f>
        <v>26665</v>
      </c>
      <c r="J36" s="4">
        <f t="shared" si="5"/>
        <v>235689</v>
      </c>
      <c r="K36" s="15">
        <f t="shared" si="5"/>
        <v>199775</v>
      </c>
    </row>
    <row r="37" spans="1:11" ht="12.75" customHeight="1">
      <c r="A37" s="13" t="s">
        <v>33</v>
      </c>
      <c r="B37" s="3">
        <v>0</v>
      </c>
      <c r="C37" s="3">
        <v>790095</v>
      </c>
      <c r="D37" s="3">
        <v>10000</v>
      </c>
      <c r="E37" s="3">
        <v>26600</v>
      </c>
      <c r="F37" s="3">
        <v>0</v>
      </c>
      <c r="G37" s="3">
        <v>63050</v>
      </c>
      <c r="H37" s="3">
        <v>31609</v>
      </c>
      <c r="I37" s="3">
        <v>16550</v>
      </c>
      <c r="J37" s="3">
        <v>30002</v>
      </c>
      <c r="K37" s="14">
        <v>66195</v>
      </c>
    </row>
    <row r="38" spans="1:11" ht="12.75" customHeight="1">
      <c r="A38" s="13" t="s">
        <v>29</v>
      </c>
      <c r="B38" s="3">
        <v>28752</v>
      </c>
      <c r="C38" s="3">
        <v>445545</v>
      </c>
      <c r="D38" s="3">
        <v>85604</v>
      </c>
      <c r="E38" s="3">
        <v>81978</v>
      </c>
      <c r="F38" s="3">
        <v>118417</v>
      </c>
      <c r="G38" s="3">
        <v>337788</v>
      </c>
      <c r="H38" s="3">
        <v>13042</v>
      </c>
      <c r="I38" s="3">
        <v>6908</v>
      </c>
      <c r="J38" s="3">
        <v>186558</v>
      </c>
      <c r="K38" s="14">
        <v>124772</v>
      </c>
    </row>
    <row r="39" spans="1:11" ht="12.75" customHeight="1">
      <c r="A39" s="13" t="s">
        <v>30</v>
      </c>
      <c r="B39" s="3">
        <f>153996+19985</f>
        <v>173981</v>
      </c>
      <c r="C39" s="3">
        <f>95644+3616</f>
        <v>99260</v>
      </c>
      <c r="D39" s="3">
        <f>2894+623</f>
        <v>3517</v>
      </c>
      <c r="E39" s="3">
        <f>11661+183</f>
        <v>11844</v>
      </c>
      <c r="F39" s="3">
        <f>5268+1964</f>
        <v>7232</v>
      </c>
      <c r="G39" s="3">
        <f>10156+29954</f>
        <v>40110</v>
      </c>
      <c r="H39" s="3">
        <f>22827+2012</f>
        <v>24839</v>
      </c>
      <c r="I39" s="3">
        <f>2954+253</f>
        <v>3207</v>
      </c>
      <c r="J39" s="3">
        <f>16040+3089</f>
        <v>19129</v>
      </c>
      <c r="K39" s="14">
        <f>126+6775+1907</f>
        <v>8808</v>
      </c>
    </row>
    <row r="40" spans="1:11" ht="12.7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14"/>
    </row>
    <row r="41" spans="1:11" ht="12.75" customHeight="1" thickBot="1">
      <c r="A41" s="20" t="s">
        <v>31</v>
      </c>
      <c r="B41" s="21">
        <v>31948</v>
      </c>
      <c r="C41" s="21">
        <v>1165</v>
      </c>
      <c r="D41" s="21">
        <v>1117</v>
      </c>
      <c r="E41" s="21">
        <v>71</v>
      </c>
      <c r="F41" s="21">
        <v>1364</v>
      </c>
      <c r="G41" s="21">
        <v>91</v>
      </c>
      <c r="H41" s="21">
        <v>14</v>
      </c>
      <c r="I41" s="21">
        <v>0</v>
      </c>
      <c r="J41" s="21">
        <v>1570</v>
      </c>
      <c r="K41" s="22">
        <v>5177</v>
      </c>
    </row>
    <row r="42" spans="1:9" ht="16.5" customHeight="1">
      <c r="A42" s="58" t="s">
        <v>101</v>
      </c>
      <c r="B42" s="58"/>
      <c r="C42" s="58"/>
      <c r="D42" s="58"/>
      <c r="E42" s="58"/>
      <c r="F42" s="58"/>
      <c r="G42" s="58"/>
      <c r="H42" s="58"/>
      <c r="I42" s="48"/>
    </row>
    <row r="43" spans="1:5" ht="15.75" thickBot="1">
      <c r="A43" s="1"/>
      <c r="B43" s="1"/>
      <c r="C43" s="40"/>
      <c r="D43" s="2" t="s">
        <v>13</v>
      </c>
      <c r="E43" s="2"/>
    </row>
    <row r="44" spans="1:5" ht="21">
      <c r="A44" s="10"/>
      <c r="B44" s="54" t="s">
        <v>10</v>
      </c>
      <c r="C44" s="56" t="s">
        <v>11</v>
      </c>
      <c r="D44" s="57" t="s">
        <v>12</v>
      </c>
      <c r="E44" s="53"/>
    </row>
    <row r="45" spans="1:5" ht="12.75" customHeight="1">
      <c r="A45" s="11" t="s">
        <v>20</v>
      </c>
      <c r="B45" s="5">
        <f>SUM(B47+B51+B58)</f>
        <v>1902535</v>
      </c>
      <c r="C45" s="5">
        <f>SUM(C47+C51+C58)</f>
        <v>892297</v>
      </c>
      <c r="D45" s="12">
        <f>SUM(D47+D51+D58)</f>
        <v>814576</v>
      </c>
      <c r="E45" s="7"/>
    </row>
    <row r="46" spans="1:5" ht="12.75" customHeight="1">
      <c r="A46" s="13"/>
      <c r="B46" s="3"/>
      <c r="C46" s="3"/>
      <c r="D46" s="14"/>
      <c r="E46" s="8"/>
    </row>
    <row r="47" spans="1:5" ht="12.75" customHeight="1">
      <c r="A47" s="11" t="s">
        <v>14</v>
      </c>
      <c r="B47" s="4">
        <f>SUM(B48:B49)</f>
        <v>189063</v>
      </c>
      <c r="C47" s="4">
        <f>SUM(C48:C49)</f>
        <v>21828</v>
      </c>
      <c r="D47" s="15">
        <f>SUM(D48:D49)</f>
        <v>9255</v>
      </c>
      <c r="E47" s="8"/>
    </row>
    <row r="48" spans="1:5" ht="12.75" customHeight="1">
      <c r="A48" s="13" t="s">
        <v>18</v>
      </c>
      <c r="B48" s="3">
        <f>188717+346</f>
        <v>189063</v>
      </c>
      <c r="C48" s="3">
        <v>21828</v>
      </c>
      <c r="D48" s="14">
        <v>9255</v>
      </c>
      <c r="E48" s="8"/>
    </row>
    <row r="49" spans="1:5" ht="12.75" customHeight="1">
      <c r="A49" s="13" t="s">
        <v>19</v>
      </c>
      <c r="B49" s="3">
        <v>0</v>
      </c>
      <c r="C49" s="3">
        <v>0</v>
      </c>
      <c r="D49" s="14">
        <v>0</v>
      </c>
      <c r="E49" s="8"/>
    </row>
    <row r="50" spans="1:5" ht="12.75" customHeight="1">
      <c r="A50" s="13"/>
      <c r="B50" s="3"/>
      <c r="C50" s="3"/>
      <c r="D50" s="14"/>
      <c r="E50" s="8"/>
    </row>
    <row r="51" spans="1:5" ht="12.75" customHeight="1">
      <c r="A51" s="11" t="s">
        <v>15</v>
      </c>
      <c r="B51" s="4">
        <f>SUM(B52:B56)</f>
        <v>1713472</v>
      </c>
      <c r="C51" s="4">
        <f>SUM(C52:C56)</f>
        <v>870469</v>
      </c>
      <c r="D51" s="15">
        <f>SUM(D52:D56)</f>
        <v>805321</v>
      </c>
      <c r="E51" s="8"/>
    </row>
    <row r="52" spans="1:5" ht="12.75" customHeight="1">
      <c r="A52" s="13" t="s">
        <v>40</v>
      </c>
      <c r="B52" s="3">
        <f>221750+41471</f>
        <v>263221</v>
      </c>
      <c r="C52" s="3">
        <v>317956</v>
      </c>
      <c r="D52" s="14">
        <v>180760</v>
      </c>
      <c r="E52" s="8"/>
    </row>
    <row r="53" spans="1:5" ht="12.75" customHeight="1">
      <c r="A53" s="13" t="s">
        <v>37</v>
      </c>
      <c r="B53" s="3">
        <f>35367+839991+59622</f>
        <v>934980</v>
      </c>
      <c r="C53" s="3">
        <v>368310</v>
      </c>
      <c r="D53" s="14">
        <v>597503</v>
      </c>
      <c r="E53" s="8"/>
    </row>
    <row r="54" spans="1:5" ht="12.75" customHeight="1">
      <c r="A54" s="13" t="s">
        <v>39</v>
      </c>
      <c r="B54" s="3">
        <v>0</v>
      </c>
      <c r="C54" s="3">
        <v>175593</v>
      </c>
      <c r="D54" s="14">
        <v>0</v>
      </c>
      <c r="E54" s="9"/>
    </row>
    <row r="55" spans="1:5" ht="12.75" customHeight="1">
      <c r="A55" s="13" t="s">
        <v>41</v>
      </c>
      <c r="B55" s="3">
        <f>4077+207068</f>
        <v>211145</v>
      </c>
      <c r="C55" s="3">
        <f>909+489</f>
        <v>1398</v>
      </c>
      <c r="D55" s="14">
        <v>3330</v>
      </c>
      <c r="E55" s="8"/>
    </row>
    <row r="56" spans="1:5" ht="12.75" customHeight="1">
      <c r="A56" s="16" t="s">
        <v>42</v>
      </c>
      <c r="B56" s="3">
        <v>304126</v>
      </c>
      <c r="C56" s="3">
        <v>7212</v>
      </c>
      <c r="D56" s="14">
        <v>23728</v>
      </c>
      <c r="E56" s="8"/>
    </row>
    <row r="57" spans="1:5" ht="12.75" customHeight="1">
      <c r="A57" s="13"/>
      <c r="B57" s="3"/>
      <c r="C57" s="3"/>
      <c r="D57" s="14"/>
      <c r="E57" s="8"/>
    </row>
    <row r="58" spans="1:5" ht="12.75" customHeight="1">
      <c r="A58" s="11" t="s">
        <v>34</v>
      </c>
      <c r="B58" s="4"/>
      <c r="C58" s="4">
        <v>0</v>
      </c>
      <c r="D58" s="15">
        <v>0</v>
      </c>
      <c r="E58" s="8"/>
    </row>
    <row r="59" spans="1:5" ht="12.75" customHeight="1">
      <c r="A59" s="17"/>
      <c r="B59" s="3"/>
      <c r="C59" s="3"/>
      <c r="D59" s="14"/>
      <c r="E59" s="8"/>
    </row>
    <row r="60" spans="1:5" ht="12.75" customHeight="1">
      <c r="A60" s="11" t="s">
        <v>21</v>
      </c>
      <c r="B60" s="4">
        <f>SUM(B62+B69+B73+B78)</f>
        <v>1902535</v>
      </c>
      <c r="C60" s="4">
        <f>SUM(C62+C69+C73+C78)</f>
        <v>892297</v>
      </c>
      <c r="D60" s="15">
        <f>SUM(D62+D69+D73+D78)</f>
        <v>814576</v>
      </c>
      <c r="E60" s="8"/>
    </row>
    <row r="61" spans="1:5" ht="12.75" customHeight="1">
      <c r="A61" s="13"/>
      <c r="B61" s="3"/>
      <c r="C61" s="3"/>
      <c r="D61" s="14"/>
      <c r="E61" s="8"/>
    </row>
    <row r="62" spans="1:5" ht="12.75" customHeight="1">
      <c r="A62" s="11" t="s">
        <v>16</v>
      </c>
      <c r="B62" s="4">
        <f>SUM(B63:B67)</f>
        <v>484799</v>
      </c>
      <c r="C62" s="4">
        <f>SUM(C63:C67)</f>
        <v>201687</v>
      </c>
      <c r="D62" s="15">
        <f>SUM(D63:D67)</f>
        <v>11379</v>
      </c>
      <c r="E62" s="8"/>
    </row>
    <row r="63" spans="1:5" ht="12.75" customHeight="1">
      <c r="A63" s="13" t="s">
        <v>22</v>
      </c>
      <c r="B63" s="3">
        <v>230</v>
      </c>
      <c r="C63" s="3">
        <v>17000</v>
      </c>
      <c r="D63" s="14">
        <v>33369</v>
      </c>
      <c r="E63" s="8"/>
    </row>
    <row r="64" spans="1:5" ht="12.75" customHeight="1">
      <c r="A64" s="13" t="s">
        <v>23</v>
      </c>
      <c r="B64" s="3">
        <v>0</v>
      </c>
      <c r="C64" s="3">
        <v>0</v>
      </c>
      <c r="D64" s="14">
        <v>0</v>
      </c>
      <c r="E64" s="8"/>
    </row>
    <row r="65" spans="1:5" ht="12.75" customHeight="1">
      <c r="A65" s="13" t="s">
        <v>24</v>
      </c>
      <c r="B65" s="3">
        <v>484569</v>
      </c>
      <c r="C65" s="3">
        <v>184687</v>
      </c>
      <c r="D65" s="35">
        <v>0</v>
      </c>
      <c r="E65" s="8"/>
    </row>
    <row r="66" spans="1:5" ht="12.75" customHeight="1">
      <c r="A66" s="13" t="s">
        <v>32</v>
      </c>
      <c r="B66" s="3">
        <v>0</v>
      </c>
      <c r="C66" s="3">
        <v>0</v>
      </c>
      <c r="D66" s="14">
        <v>0</v>
      </c>
      <c r="E66" s="9"/>
    </row>
    <row r="67" spans="1:5" ht="12.75" customHeight="1">
      <c r="A67" s="13" t="s">
        <v>25</v>
      </c>
      <c r="B67" s="24">
        <v>0</v>
      </c>
      <c r="C67" s="3">
        <v>0</v>
      </c>
      <c r="D67" s="35">
        <v>-21990</v>
      </c>
      <c r="E67" s="8"/>
    </row>
    <row r="68" spans="1:5" ht="12.75" customHeight="1">
      <c r="A68" s="13"/>
      <c r="B68" s="3"/>
      <c r="C68" s="3"/>
      <c r="D68" s="14"/>
      <c r="E68" s="8"/>
    </row>
    <row r="69" spans="1:7" ht="12.75" customHeight="1">
      <c r="A69" s="11" t="s">
        <v>17</v>
      </c>
      <c r="B69" s="4">
        <f>SUM(B70:B71)</f>
        <v>0</v>
      </c>
      <c r="C69" s="4">
        <f>SUM(C70:C71)</f>
        <v>0</v>
      </c>
      <c r="D69" s="15">
        <f>SUM(D70:D71)</f>
        <v>0</v>
      </c>
      <c r="E69" s="8"/>
      <c r="G69" s="43"/>
    </row>
    <row r="70" spans="1:5" ht="12.75" customHeight="1">
      <c r="A70" s="18" t="s">
        <v>26</v>
      </c>
      <c r="B70" s="3">
        <v>0</v>
      </c>
      <c r="C70" s="3">
        <v>0</v>
      </c>
      <c r="D70" s="14">
        <v>0</v>
      </c>
      <c r="E70" s="8"/>
    </row>
    <row r="71" spans="1:5" ht="12.75" customHeight="1">
      <c r="A71" s="19" t="s">
        <v>27</v>
      </c>
      <c r="B71" s="3">
        <v>0</v>
      </c>
      <c r="C71" s="3">
        <v>0</v>
      </c>
      <c r="D71" s="14">
        <v>0</v>
      </c>
      <c r="E71" s="8"/>
    </row>
    <row r="72" spans="1:5" ht="12.75" customHeight="1">
      <c r="A72" s="17"/>
      <c r="B72" s="3"/>
      <c r="C72" s="3"/>
      <c r="D72" s="14"/>
      <c r="E72" s="9"/>
    </row>
    <row r="73" spans="1:5" ht="12.75" customHeight="1">
      <c r="A73" s="11" t="s">
        <v>28</v>
      </c>
      <c r="B73" s="4">
        <f>SUM(B74:B76)</f>
        <v>1417736</v>
      </c>
      <c r="C73" s="4">
        <f>SUM(C74:C76)</f>
        <v>690610</v>
      </c>
      <c r="D73" s="15">
        <f>SUM(D74:D76)</f>
        <v>803197</v>
      </c>
      <c r="E73" s="8"/>
    </row>
    <row r="74" spans="1:5" ht="12.75" customHeight="1">
      <c r="A74" s="13" t="s">
        <v>33</v>
      </c>
      <c r="B74" s="3">
        <v>0</v>
      </c>
      <c r="C74" s="3">
        <v>0</v>
      </c>
      <c r="D74" s="14">
        <v>4848</v>
      </c>
      <c r="E74" s="9"/>
    </row>
    <row r="75" spans="1:5" ht="12.75" customHeight="1">
      <c r="A75" s="13" t="s">
        <v>29</v>
      </c>
      <c r="B75" s="3">
        <f>1255325+12482</f>
        <v>1267807</v>
      </c>
      <c r="C75" s="3">
        <f>672225</f>
        <v>672225</v>
      </c>
      <c r="D75" s="14">
        <v>788939</v>
      </c>
      <c r="E75" s="8"/>
    </row>
    <row r="76" spans="1:5" ht="12.75" customHeight="1">
      <c r="A76" s="13" t="s">
        <v>30</v>
      </c>
      <c r="B76" s="3">
        <f>4736+33692+111501</f>
        <v>149929</v>
      </c>
      <c r="C76" s="3">
        <f>17065+1320</f>
        <v>18385</v>
      </c>
      <c r="D76" s="14">
        <v>9410</v>
      </c>
      <c r="E76" s="9"/>
    </row>
    <row r="77" spans="1:5" ht="12.75" customHeight="1">
      <c r="A77" s="13"/>
      <c r="B77" s="3"/>
      <c r="C77" s="3"/>
      <c r="D77" s="14"/>
      <c r="E77" s="9"/>
    </row>
    <row r="78" spans="1:5" ht="12.75" customHeight="1" thickBot="1">
      <c r="A78" s="20" t="s">
        <v>31</v>
      </c>
      <c r="B78" s="21">
        <v>0</v>
      </c>
      <c r="C78" s="21">
        <v>0</v>
      </c>
      <c r="D78" s="22">
        <v>0</v>
      </c>
      <c r="E78" s="9"/>
    </row>
  </sheetData>
  <sheetProtection/>
  <mergeCells count="3">
    <mergeCell ref="A1:H1"/>
    <mergeCell ref="A2:H2"/>
    <mergeCell ref="A42:H42"/>
  </mergeCells>
  <printOptions/>
  <pageMargins left="0.67" right="0.32" top="0.4" bottom="0.39" header="0.18" footer="0.22"/>
  <pageSetup horizontalDpi="600" verticalDpi="600" orientation="landscape" paperSize="9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46">
      <selection activeCell="H80" sqref="H80"/>
    </sheetView>
  </sheetViews>
  <sheetFormatPr defaultColWidth="9.140625" defaultRowHeight="12.75"/>
  <cols>
    <col min="1" max="1" width="37.7109375" style="39" customWidth="1"/>
    <col min="2" max="2" width="11.421875" style="39" customWidth="1"/>
    <col min="3" max="3" width="9.7109375" style="39" customWidth="1"/>
    <col min="4" max="4" width="9.57421875" style="39" customWidth="1"/>
    <col min="5" max="5" width="9.28125" style="39" customWidth="1"/>
    <col min="6" max="6" width="9.57421875" style="39" customWidth="1"/>
    <col min="7" max="7" width="9.421875" style="39" customWidth="1"/>
    <col min="8" max="8" width="9.57421875" style="39" customWidth="1"/>
    <col min="9" max="9" width="8.421875" style="39" customWidth="1"/>
    <col min="10" max="10" width="12.28125" style="39" customWidth="1"/>
    <col min="11" max="11" width="10.7109375" style="39" customWidth="1"/>
    <col min="12" max="16384" width="9.140625" style="39" customWidth="1"/>
  </cols>
  <sheetData>
    <row r="1" spans="1:11" ht="14.25" customHeight="1">
      <c r="A1" s="58" t="s">
        <v>104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6.5" customHeight="1" thickBot="1">
      <c r="A2" s="1"/>
      <c r="B2" s="1"/>
      <c r="C2" s="40"/>
      <c r="D2" s="2"/>
      <c r="E2" s="41"/>
      <c r="F2" s="41"/>
      <c r="G2" s="41"/>
      <c r="H2" s="41"/>
      <c r="I2" s="41"/>
      <c r="K2" s="44" t="s">
        <v>0</v>
      </c>
    </row>
    <row r="3" spans="1:11" ht="16.5" customHeight="1">
      <c r="A3" s="10"/>
      <c r="B3" s="55" t="s">
        <v>1</v>
      </c>
      <c r="C3" s="56" t="s">
        <v>2</v>
      </c>
      <c r="D3" s="56" t="s">
        <v>3</v>
      </c>
      <c r="E3" s="56" t="s">
        <v>4</v>
      </c>
      <c r="F3" s="56" t="s">
        <v>5</v>
      </c>
      <c r="G3" s="56" t="s">
        <v>6</v>
      </c>
      <c r="H3" s="56" t="s">
        <v>7</v>
      </c>
      <c r="I3" s="56" t="s">
        <v>95</v>
      </c>
      <c r="J3" s="56" t="s">
        <v>8</v>
      </c>
      <c r="K3" s="57" t="s">
        <v>9</v>
      </c>
    </row>
    <row r="4" spans="1:11" ht="12.75" customHeight="1">
      <c r="A4" s="11" t="s">
        <v>65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1" ht="12.75" customHeight="1">
      <c r="A5" s="13" t="s">
        <v>66</v>
      </c>
      <c r="B5" s="3">
        <v>367314</v>
      </c>
      <c r="C5" s="3">
        <v>1779899</v>
      </c>
      <c r="D5" s="3">
        <v>135543</v>
      </c>
      <c r="E5" s="3">
        <v>247400</v>
      </c>
      <c r="F5" s="3">
        <v>279179</v>
      </c>
      <c r="G5" s="3">
        <v>623016</v>
      </c>
      <c r="H5" s="3">
        <v>245093</v>
      </c>
      <c r="I5" s="3">
        <v>34053</v>
      </c>
      <c r="J5" s="3">
        <v>538767</v>
      </c>
      <c r="K5" s="14">
        <v>510150</v>
      </c>
    </row>
    <row r="6" spans="1:11" ht="12.75" customHeight="1">
      <c r="A6" s="13" t="s">
        <v>67</v>
      </c>
      <c r="B6" s="3"/>
      <c r="C6" s="3"/>
      <c r="D6" s="3"/>
      <c r="E6" s="3"/>
      <c r="F6" s="3"/>
      <c r="G6" s="3"/>
      <c r="H6" s="3"/>
      <c r="I6" s="3"/>
      <c r="J6" s="3">
        <v>3844</v>
      </c>
      <c r="K6" s="14">
        <v>42</v>
      </c>
    </row>
    <row r="7" spans="1:11" ht="12.75" customHeight="1">
      <c r="A7" s="13" t="s">
        <v>68</v>
      </c>
      <c r="B7" s="3">
        <v>1236</v>
      </c>
      <c r="C7" s="3">
        <v>80109</v>
      </c>
      <c r="D7" s="3">
        <v>10366</v>
      </c>
      <c r="E7" s="3">
        <v>67</v>
      </c>
      <c r="F7" s="3">
        <v>6254</v>
      </c>
      <c r="G7" s="3">
        <v>429</v>
      </c>
      <c r="H7" s="3">
        <v>198</v>
      </c>
      <c r="I7" s="3">
        <v>1733</v>
      </c>
      <c r="J7" s="3">
        <v>16294</v>
      </c>
      <c r="K7" s="14">
        <v>29092</v>
      </c>
    </row>
    <row r="8" spans="1:11" ht="12.75" customHeight="1">
      <c r="A8" s="13" t="s">
        <v>69</v>
      </c>
      <c r="B8" s="24">
        <v>-261640</v>
      </c>
      <c r="C8" s="24">
        <v>-1314073</v>
      </c>
      <c r="D8" s="24">
        <v>-108302</v>
      </c>
      <c r="E8" s="24">
        <v>-193032</v>
      </c>
      <c r="F8" s="24">
        <v>-199941</v>
      </c>
      <c r="G8" s="24">
        <v>-517511</v>
      </c>
      <c r="H8" s="24">
        <v>-181267</v>
      </c>
      <c r="I8" s="24">
        <v>-27246</v>
      </c>
      <c r="J8" s="24">
        <v>-474260</v>
      </c>
      <c r="K8" s="35">
        <v>-449541</v>
      </c>
    </row>
    <row r="9" spans="1:11" ht="12.75" customHeight="1">
      <c r="A9" s="13" t="s">
        <v>70</v>
      </c>
      <c r="B9" s="24">
        <v>-118536</v>
      </c>
      <c r="C9" s="24">
        <v>-305251</v>
      </c>
      <c r="D9" s="24">
        <v>-19941</v>
      </c>
      <c r="E9" s="24">
        <v>-33747</v>
      </c>
      <c r="F9" s="24">
        <v>-31097</v>
      </c>
      <c r="G9" s="24">
        <v>-63257</v>
      </c>
      <c r="H9" s="24">
        <v>-13987</v>
      </c>
      <c r="I9" s="24">
        <v>-8483</v>
      </c>
      <c r="J9" s="24">
        <v>-53856</v>
      </c>
      <c r="K9" s="35">
        <v>-58861</v>
      </c>
    </row>
    <row r="10" spans="1:11" ht="12.75" customHeight="1">
      <c r="A10" s="13" t="s">
        <v>71</v>
      </c>
      <c r="B10" s="24">
        <v>-7726</v>
      </c>
      <c r="C10" s="24">
        <v>-81132</v>
      </c>
      <c r="D10" s="24">
        <v>-8310</v>
      </c>
      <c r="E10" s="24">
        <v>-2520</v>
      </c>
      <c r="F10" s="24">
        <v>-12449</v>
      </c>
      <c r="G10" s="24">
        <v>-5554</v>
      </c>
      <c r="H10" s="24">
        <v>-6058</v>
      </c>
      <c r="I10" s="24">
        <v>-1342</v>
      </c>
      <c r="J10" s="24">
        <v>-1603</v>
      </c>
      <c r="K10" s="35">
        <v>-5289</v>
      </c>
    </row>
    <row r="11" spans="1:11" ht="12.75" customHeight="1">
      <c r="A11" s="13" t="s">
        <v>72</v>
      </c>
      <c r="B11" s="24">
        <v>-7568</v>
      </c>
      <c r="C11" s="24">
        <v>-5714</v>
      </c>
      <c r="D11" s="24"/>
      <c r="E11" s="24">
        <v>-2559</v>
      </c>
      <c r="F11" s="24"/>
      <c r="G11" s="24"/>
      <c r="H11" s="24">
        <v>-1606</v>
      </c>
      <c r="I11" s="24">
        <v>-77</v>
      </c>
      <c r="J11" s="24">
        <v>-1326</v>
      </c>
      <c r="K11" s="35"/>
    </row>
    <row r="12" spans="1:11" ht="12.75" customHeight="1">
      <c r="A12" s="13" t="s">
        <v>73</v>
      </c>
      <c r="B12" s="24">
        <v>-65372</v>
      </c>
      <c r="C12" s="24">
        <v>-2475</v>
      </c>
      <c r="D12" s="24">
        <v>-860</v>
      </c>
      <c r="E12" s="24">
        <v>-7984</v>
      </c>
      <c r="F12" s="24">
        <v>-5817</v>
      </c>
      <c r="G12" s="24">
        <v>-9500</v>
      </c>
      <c r="H12" s="24">
        <v>-4566</v>
      </c>
      <c r="I12" s="24">
        <v>-2831</v>
      </c>
      <c r="J12" s="24">
        <v>-16990</v>
      </c>
      <c r="K12" s="35">
        <v>-13182</v>
      </c>
    </row>
    <row r="13" spans="1:11" ht="12.75" customHeight="1">
      <c r="A13" s="17"/>
      <c r="B13" s="3"/>
      <c r="C13" s="3"/>
      <c r="D13" s="3"/>
      <c r="E13" s="3"/>
      <c r="F13" s="3"/>
      <c r="G13" s="3"/>
      <c r="H13" s="3"/>
      <c r="I13" s="3"/>
      <c r="J13" s="3"/>
      <c r="K13" s="14"/>
    </row>
    <row r="14" spans="1:11" ht="12.75" customHeight="1">
      <c r="A14" s="11" t="s">
        <v>74</v>
      </c>
      <c r="B14" s="51">
        <f aca="true" t="shared" si="0" ref="B14:K14">SUM(B4:B13)</f>
        <v>-92292</v>
      </c>
      <c r="C14" s="51">
        <f t="shared" si="0"/>
        <v>151363</v>
      </c>
      <c r="D14" s="51">
        <f t="shared" si="0"/>
        <v>8496</v>
      </c>
      <c r="E14" s="51">
        <f t="shared" si="0"/>
        <v>7625</v>
      </c>
      <c r="F14" s="26">
        <f t="shared" si="0"/>
        <v>36129</v>
      </c>
      <c r="G14" s="26">
        <f t="shared" si="0"/>
        <v>27623</v>
      </c>
      <c r="H14" s="4">
        <f t="shared" si="0"/>
        <v>37807</v>
      </c>
      <c r="I14" s="51">
        <f t="shared" si="0"/>
        <v>-4193</v>
      </c>
      <c r="J14" s="4">
        <f t="shared" si="0"/>
        <v>10870</v>
      </c>
      <c r="K14" s="30">
        <f t="shared" si="0"/>
        <v>12411</v>
      </c>
    </row>
    <row r="15" spans="1:11" ht="12.75" customHeight="1">
      <c r="A15" s="17"/>
      <c r="B15" s="3"/>
      <c r="C15" s="3"/>
      <c r="D15" s="3"/>
      <c r="E15" s="3"/>
      <c r="F15" s="3"/>
      <c r="G15" s="3"/>
      <c r="H15" s="3"/>
      <c r="I15" s="3"/>
      <c r="J15" s="3"/>
      <c r="K15" s="14"/>
    </row>
    <row r="16" spans="1:11" ht="12.75" customHeight="1">
      <c r="A16" s="11" t="s">
        <v>75</v>
      </c>
      <c r="B16" s="3"/>
      <c r="C16" s="3"/>
      <c r="D16" s="3"/>
      <c r="E16" s="3"/>
      <c r="F16" s="3"/>
      <c r="G16" s="3"/>
      <c r="H16" s="3"/>
      <c r="I16" s="3"/>
      <c r="J16" s="3"/>
      <c r="K16" s="14"/>
    </row>
    <row r="17" spans="1:11" ht="12.75" customHeight="1">
      <c r="A17" s="13" t="s">
        <v>76</v>
      </c>
      <c r="B17" s="3"/>
      <c r="C17" s="3"/>
      <c r="D17" s="3"/>
      <c r="E17" s="3"/>
      <c r="F17" s="3"/>
      <c r="G17" s="3"/>
      <c r="H17" s="3"/>
      <c r="I17" s="3"/>
      <c r="J17" s="3"/>
      <c r="K17" s="14"/>
    </row>
    <row r="18" spans="1:11" ht="12.75" customHeight="1">
      <c r="A18" s="13" t="s">
        <v>77</v>
      </c>
      <c r="B18" s="3"/>
      <c r="C18" s="3"/>
      <c r="D18" s="3"/>
      <c r="E18" s="3"/>
      <c r="F18" s="3"/>
      <c r="G18" s="3"/>
      <c r="H18" s="3"/>
      <c r="I18" s="3"/>
      <c r="J18" s="3">
        <v>892</v>
      </c>
      <c r="K18" s="14">
        <v>238</v>
      </c>
    </row>
    <row r="19" spans="1:11" ht="12.75" customHeight="1">
      <c r="A19" s="13" t="s">
        <v>78</v>
      </c>
      <c r="B19" s="24">
        <v>146504</v>
      </c>
      <c r="C19" s="3">
        <v>432543</v>
      </c>
      <c r="D19" s="3"/>
      <c r="E19" s="3"/>
      <c r="F19" s="3"/>
      <c r="G19" s="3"/>
      <c r="H19" s="3"/>
      <c r="I19" s="3"/>
      <c r="J19" s="24"/>
      <c r="K19" s="14"/>
    </row>
    <row r="20" spans="1:11" ht="12.75" customHeight="1">
      <c r="A20" s="13" t="s">
        <v>79</v>
      </c>
      <c r="B20" s="3">
        <v>87416</v>
      </c>
      <c r="C20" s="3">
        <v>19366</v>
      </c>
      <c r="D20" s="3">
        <v>14</v>
      </c>
      <c r="E20" s="3">
        <v>8</v>
      </c>
      <c r="F20" s="3">
        <v>802</v>
      </c>
      <c r="G20" s="3">
        <v>151</v>
      </c>
      <c r="H20" s="3">
        <v>54</v>
      </c>
      <c r="I20" s="3"/>
      <c r="J20" s="3"/>
      <c r="K20" s="14"/>
    </row>
    <row r="21" spans="1:11" ht="12.75" customHeight="1">
      <c r="A21" s="13" t="s">
        <v>80</v>
      </c>
      <c r="B21" s="3">
        <v>177590</v>
      </c>
      <c r="C21" s="3"/>
      <c r="D21" s="3"/>
      <c r="E21" s="3"/>
      <c r="F21" s="3"/>
      <c r="G21" s="3"/>
      <c r="H21" s="3"/>
      <c r="I21" s="3"/>
      <c r="J21" s="3"/>
      <c r="K21" s="14"/>
    </row>
    <row r="22" spans="1:11" ht="12.75" customHeight="1">
      <c r="A22" s="13" t="s">
        <v>81</v>
      </c>
      <c r="B22" s="24">
        <v>-4629</v>
      </c>
      <c r="C22" s="3"/>
      <c r="D22" s="3"/>
      <c r="E22" s="3"/>
      <c r="F22" s="3"/>
      <c r="G22" s="3"/>
      <c r="H22" s="3"/>
      <c r="I22" s="3"/>
      <c r="J22" s="3"/>
      <c r="K22" s="14"/>
    </row>
    <row r="23" spans="1:11" ht="12.75" customHeight="1">
      <c r="A23" s="13" t="s">
        <v>82</v>
      </c>
      <c r="B23" s="24">
        <v>-24074</v>
      </c>
      <c r="C23" s="24">
        <v>-18300</v>
      </c>
      <c r="D23" s="24">
        <v>-1858</v>
      </c>
      <c r="E23" s="24">
        <v>-3348</v>
      </c>
      <c r="F23" s="24">
        <v>-6620</v>
      </c>
      <c r="G23" s="24">
        <v>-9418</v>
      </c>
      <c r="H23" s="24">
        <v>-127</v>
      </c>
      <c r="I23" s="24"/>
      <c r="J23" s="24">
        <v>-8399</v>
      </c>
      <c r="K23" s="35">
        <v>-13324</v>
      </c>
    </row>
    <row r="24" spans="1:11" ht="12.75" customHeight="1">
      <c r="A24" s="13" t="s">
        <v>98</v>
      </c>
      <c r="B24" s="24"/>
      <c r="C24" s="24"/>
      <c r="D24" s="3"/>
      <c r="E24" s="3"/>
      <c r="F24" s="3">
        <v>5275</v>
      </c>
      <c r="G24" s="3"/>
      <c r="H24" s="3"/>
      <c r="I24" s="3"/>
      <c r="J24" s="3"/>
      <c r="K24" s="35">
        <v>-382</v>
      </c>
    </row>
    <row r="25" spans="1:11" ht="12.75" customHeight="1">
      <c r="A25" s="17"/>
      <c r="B25" s="3"/>
      <c r="C25" s="3"/>
      <c r="D25" s="3"/>
      <c r="E25" s="3"/>
      <c r="F25" s="3"/>
      <c r="G25" s="3"/>
      <c r="H25" s="3"/>
      <c r="I25" s="3"/>
      <c r="J25" s="3"/>
      <c r="K25" s="14"/>
    </row>
    <row r="26" spans="1:11" ht="12.75" customHeight="1">
      <c r="A26" s="11" t="s">
        <v>84</v>
      </c>
      <c r="B26" s="51">
        <f aca="true" t="shared" si="1" ref="B26:I26">SUM(B16:B25)</f>
        <v>382807</v>
      </c>
      <c r="C26" s="36">
        <f t="shared" si="1"/>
        <v>433609</v>
      </c>
      <c r="D26" s="26">
        <f t="shared" si="1"/>
        <v>-1844</v>
      </c>
      <c r="E26" s="51">
        <f t="shared" si="1"/>
        <v>-3340</v>
      </c>
      <c r="F26" s="36">
        <f t="shared" si="1"/>
        <v>-543</v>
      </c>
      <c r="G26" s="36">
        <f t="shared" si="1"/>
        <v>-9267</v>
      </c>
      <c r="H26" s="26">
        <f t="shared" si="1"/>
        <v>-73</v>
      </c>
      <c r="I26" s="26">
        <f t="shared" si="1"/>
        <v>0</v>
      </c>
      <c r="J26" s="36">
        <f>SUM(J17:J25)</f>
        <v>-7507</v>
      </c>
      <c r="K26" s="30">
        <f>SUM(K17:K24)</f>
        <v>-13468</v>
      </c>
    </row>
    <row r="27" spans="1:11" ht="12.75" customHeight="1">
      <c r="A27" s="17"/>
      <c r="B27" s="3"/>
      <c r="C27" s="3"/>
      <c r="D27" s="3"/>
      <c r="E27" s="3"/>
      <c r="F27" s="3"/>
      <c r="G27" s="3"/>
      <c r="H27" s="3"/>
      <c r="I27" s="3"/>
      <c r="J27" s="3"/>
      <c r="K27" s="14"/>
    </row>
    <row r="28" spans="1:11" ht="12.75" customHeight="1">
      <c r="A28" s="11" t="s">
        <v>85</v>
      </c>
      <c r="B28" s="3"/>
      <c r="C28" s="3"/>
      <c r="D28" s="3"/>
      <c r="E28" s="3"/>
      <c r="F28" s="3"/>
      <c r="G28" s="3"/>
      <c r="H28" s="3"/>
      <c r="I28" s="3"/>
      <c r="J28" s="3"/>
      <c r="K28" s="14"/>
    </row>
    <row r="29" spans="1:11" ht="12.75" customHeight="1">
      <c r="A29" s="13" t="s">
        <v>97</v>
      </c>
      <c r="B29" s="3"/>
      <c r="C29" s="3"/>
      <c r="D29" s="3"/>
      <c r="E29" s="3"/>
      <c r="F29" s="3"/>
      <c r="G29" s="3"/>
      <c r="H29" s="3"/>
      <c r="I29" s="3"/>
      <c r="J29" s="3"/>
      <c r="K29" s="14"/>
    </row>
    <row r="30" spans="1:11" ht="12.75" customHeight="1">
      <c r="A30" s="13" t="s">
        <v>86</v>
      </c>
      <c r="B30" s="24">
        <v>-123638</v>
      </c>
      <c r="C30" s="24">
        <v>116148</v>
      </c>
      <c r="D30" s="24">
        <v>-14371</v>
      </c>
      <c r="E30" s="24">
        <v>-3400</v>
      </c>
      <c r="F30" s="24">
        <v>-13046</v>
      </c>
      <c r="G30" s="24">
        <v>-2950</v>
      </c>
      <c r="H30" s="24">
        <v>-2467</v>
      </c>
      <c r="I30" s="24">
        <v>4222</v>
      </c>
      <c r="J30" s="24">
        <v>-859</v>
      </c>
      <c r="K30" s="35">
        <v>2324</v>
      </c>
    </row>
    <row r="31" spans="1:11" ht="12.75" customHeight="1">
      <c r="A31" s="13" t="s">
        <v>87</v>
      </c>
      <c r="B31" s="24">
        <v>-85868</v>
      </c>
      <c r="C31" s="24">
        <v>-137669</v>
      </c>
      <c r="D31" s="24"/>
      <c r="E31" s="24">
        <v>-1495</v>
      </c>
      <c r="F31" s="3"/>
      <c r="G31" s="24"/>
      <c r="H31" s="24">
        <v>-11037</v>
      </c>
      <c r="I31" s="24"/>
      <c r="J31" s="24">
        <v>-884</v>
      </c>
      <c r="K31" s="14"/>
    </row>
    <row r="32" spans="1:11" ht="12.75" customHeight="1">
      <c r="A32" s="13" t="s">
        <v>88</v>
      </c>
      <c r="B32" s="3" t="s">
        <v>93</v>
      </c>
      <c r="C32" s="3"/>
      <c r="D32" s="3"/>
      <c r="E32" s="3"/>
      <c r="F32" s="3"/>
      <c r="G32" s="24"/>
      <c r="H32" s="24"/>
      <c r="I32" s="24"/>
      <c r="J32" s="24">
        <v>-288</v>
      </c>
      <c r="K32" s="14"/>
    </row>
    <row r="33" spans="1:11" ht="12.75" customHeight="1">
      <c r="A33" s="17"/>
      <c r="B33" s="3"/>
      <c r="C33" s="3"/>
      <c r="D33" s="3"/>
      <c r="E33" s="3"/>
      <c r="F33" s="3"/>
      <c r="G33" s="3"/>
      <c r="H33" s="3"/>
      <c r="I33" s="3"/>
      <c r="J33" s="3"/>
      <c r="K33" s="14"/>
    </row>
    <row r="34" spans="1:11" ht="12.75" customHeight="1">
      <c r="A34" s="11" t="s">
        <v>89</v>
      </c>
      <c r="B34" s="26">
        <f>SUM(B29:B32)</f>
        <v>-209506</v>
      </c>
      <c r="C34" s="26">
        <f aca="true" t="shared" si="2" ref="C34:K34">SUM(C29:C32)</f>
        <v>-21521</v>
      </c>
      <c r="D34" s="26">
        <f t="shared" si="2"/>
        <v>-14371</v>
      </c>
      <c r="E34" s="26">
        <f t="shared" si="2"/>
        <v>-4895</v>
      </c>
      <c r="F34" s="26">
        <f t="shared" si="2"/>
        <v>-13046</v>
      </c>
      <c r="G34" s="26">
        <f t="shared" si="2"/>
        <v>-2950</v>
      </c>
      <c r="H34" s="26">
        <f t="shared" si="2"/>
        <v>-13504</v>
      </c>
      <c r="I34" s="26">
        <f t="shared" si="2"/>
        <v>4222</v>
      </c>
      <c r="J34" s="26">
        <f t="shared" si="2"/>
        <v>-2031</v>
      </c>
      <c r="K34" s="30">
        <f t="shared" si="2"/>
        <v>2324</v>
      </c>
    </row>
    <row r="35" spans="1:11" ht="12.75" customHeight="1">
      <c r="A35" s="17"/>
      <c r="B35" s="3"/>
      <c r="C35" s="3"/>
      <c r="D35" s="3"/>
      <c r="E35" s="3"/>
      <c r="F35" s="3"/>
      <c r="G35" s="3"/>
      <c r="H35" s="3"/>
      <c r="I35" s="3"/>
      <c r="J35" s="3"/>
      <c r="K35" s="14"/>
    </row>
    <row r="36" spans="1:11" ht="12.75" customHeight="1">
      <c r="A36" s="11" t="s">
        <v>90</v>
      </c>
      <c r="B36" s="26">
        <f aca="true" t="shared" si="3" ref="B36:K36">SUM(B14+(B26+B34))</f>
        <v>81009</v>
      </c>
      <c r="C36" s="26">
        <f t="shared" si="3"/>
        <v>563451</v>
      </c>
      <c r="D36" s="26">
        <f>(D14+(D26+D34))</f>
        <v>-7719</v>
      </c>
      <c r="E36" s="26">
        <f t="shared" si="3"/>
        <v>-610</v>
      </c>
      <c r="F36" s="26">
        <f t="shared" si="3"/>
        <v>22540</v>
      </c>
      <c r="G36" s="26">
        <f t="shared" si="3"/>
        <v>15406</v>
      </c>
      <c r="H36" s="4">
        <f t="shared" si="3"/>
        <v>24230</v>
      </c>
      <c r="I36" s="26">
        <f t="shared" si="3"/>
        <v>29</v>
      </c>
      <c r="J36" s="26">
        <f t="shared" si="3"/>
        <v>1332</v>
      </c>
      <c r="K36" s="30">
        <f t="shared" si="3"/>
        <v>1267</v>
      </c>
    </row>
    <row r="37" spans="1:11" ht="12.75" customHeight="1">
      <c r="A37" s="11"/>
      <c r="B37" s="3"/>
      <c r="C37" s="3"/>
      <c r="D37" s="3"/>
      <c r="E37" s="3"/>
      <c r="F37" s="37"/>
      <c r="G37" s="3"/>
      <c r="H37" s="3"/>
      <c r="I37" s="3"/>
      <c r="J37" s="3"/>
      <c r="K37" s="14"/>
    </row>
    <row r="38" spans="1:11" ht="12.75" customHeight="1">
      <c r="A38" s="11" t="s">
        <v>91</v>
      </c>
      <c r="B38" s="4">
        <v>10230</v>
      </c>
      <c r="C38" s="4">
        <v>181462</v>
      </c>
      <c r="D38" s="4">
        <v>15493</v>
      </c>
      <c r="E38" s="4">
        <v>1396</v>
      </c>
      <c r="F38" s="4">
        <v>33651</v>
      </c>
      <c r="G38" s="4">
        <v>24416</v>
      </c>
      <c r="H38" s="4">
        <v>7580</v>
      </c>
      <c r="I38" s="4">
        <v>1750</v>
      </c>
      <c r="J38" s="4">
        <v>7928</v>
      </c>
      <c r="K38" s="15">
        <v>15849</v>
      </c>
    </row>
    <row r="39" spans="1:11" ht="12.75" customHeight="1">
      <c r="A39" s="11"/>
      <c r="B39" s="4"/>
      <c r="C39" s="4"/>
      <c r="D39" s="4"/>
      <c r="E39" s="4"/>
      <c r="F39" s="4"/>
      <c r="G39" s="4"/>
      <c r="H39" s="4"/>
      <c r="I39" s="4"/>
      <c r="J39" s="4"/>
      <c r="K39" s="15"/>
    </row>
    <row r="40" spans="1:11" ht="12.75" customHeight="1">
      <c r="A40" s="11" t="s">
        <v>94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15">
        <v>0</v>
      </c>
    </row>
    <row r="41" spans="1:11" ht="12.75" customHeight="1">
      <c r="A41" s="11"/>
      <c r="B41" s="4"/>
      <c r="C41" s="4"/>
      <c r="D41" s="4"/>
      <c r="E41" s="47"/>
      <c r="F41" s="47"/>
      <c r="G41" s="4"/>
      <c r="H41" s="4"/>
      <c r="I41" s="4"/>
      <c r="J41" s="4"/>
      <c r="K41" s="15"/>
    </row>
    <row r="42" spans="1:11" ht="12.75" customHeight="1" thickBot="1">
      <c r="A42" s="20" t="s">
        <v>92</v>
      </c>
      <c r="B42" s="21">
        <f>SUM(B36+B38+B40)</f>
        <v>91239</v>
      </c>
      <c r="C42" s="21">
        <f>SUM(C36+C38+C40)</f>
        <v>744913</v>
      </c>
      <c r="D42" s="21">
        <f aca="true" t="shared" si="4" ref="D42:K42">SUM(D36+D38+D40)</f>
        <v>7774</v>
      </c>
      <c r="E42" s="21">
        <f t="shared" si="4"/>
        <v>786</v>
      </c>
      <c r="F42" s="21">
        <f t="shared" si="4"/>
        <v>56191</v>
      </c>
      <c r="G42" s="21">
        <f t="shared" si="4"/>
        <v>39822</v>
      </c>
      <c r="H42" s="21">
        <f t="shared" si="4"/>
        <v>31810</v>
      </c>
      <c r="I42" s="21">
        <f t="shared" si="4"/>
        <v>1779</v>
      </c>
      <c r="J42" s="21">
        <f t="shared" si="4"/>
        <v>9260</v>
      </c>
      <c r="K42" s="22">
        <f t="shared" si="4"/>
        <v>17116</v>
      </c>
    </row>
    <row r="43" spans="1:9" ht="16.5" customHeight="1">
      <c r="A43" s="58" t="s">
        <v>103</v>
      </c>
      <c r="B43" s="58"/>
      <c r="C43" s="58"/>
      <c r="D43" s="58"/>
      <c r="E43" s="58"/>
      <c r="F43" s="58"/>
      <c r="G43" s="58"/>
      <c r="H43" s="58"/>
      <c r="I43" s="48"/>
    </row>
    <row r="44" spans="1:4" ht="15.75" thickBot="1">
      <c r="A44" s="1"/>
      <c r="B44" s="1"/>
      <c r="C44" s="40"/>
      <c r="D44" s="38" t="s">
        <v>13</v>
      </c>
    </row>
    <row r="45" spans="1:4" ht="21">
      <c r="A45" s="10"/>
      <c r="B45" s="54" t="s">
        <v>10</v>
      </c>
      <c r="C45" s="56" t="s">
        <v>11</v>
      </c>
      <c r="D45" s="57" t="s">
        <v>12</v>
      </c>
    </row>
    <row r="46" spans="1:4" ht="12.75" customHeight="1">
      <c r="A46" s="11" t="s">
        <v>65</v>
      </c>
      <c r="B46" s="33"/>
      <c r="C46" s="33"/>
      <c r="D46" s="34"/>
    </row>
    <row r="47" spans="1:4" ht="12.75" customHeight="1">
      <c r="A47" s="13" t="s">
        <v>66</v>
      </c>
      <c r="B47" s="24">
        <v>5255490</v>
      </c>
      <c r="C47" s="24">
        <v>1619299</v>
      </c>
      <c r="D47" s="35">
        <v>821172</v>
      </c>
    </row>
    <row r="48" spans="1:4" ht="12.75" customHeight="1">
      <c r="A48" s="13" t="s">
        <v>67</v>
      </c>
      <c r="B48" s="24"/>
      <c r="C48" s="24"/>
      <c r="D48" s="35"/>
    </row>
    <row r="49" spans="1:4" ht="12.75" customHeight="1">
      <c r="A49" s="13" t="s">
        <v>68</v>
      </c>
      <c r="B49" s="24">
        <v>6625</v>
      </c>
      <c r="C49" s="24">
        <v>10576</v>
      </c>
      <c r="D49" s="35">
        <v>62</v>
      </c>
    </row>
    <row r="50" spans="1:4" ht="12.75" customHeight="1">
      <c r="A50" s="13" t="s">
        <v>69</v>
      </c>
      <c r="B50" s="24">
        <v>-3137158</v>
      </c>
      <c r="C50" s="24">
        <v>-1436907</v>
      </c>
      <c r="D50" s="35">
        <v>-738289</v>
      </c>
    </row>
    <row r="51" spans="1:4" ht="12.75" customHeight="1">
      <c r="A51" s="13" t="s">
        <v>70</v>
      </c>
      <c r="B51" s="24">
        <v>-497350</v>
      </c>
      <c r="C51" s="24">
        <v>-135351</v>
      </c>
      <c r="D51" s="35">
        <v>-81835</v>
      </c>
    </row>
    <row r="52" spans="1:4" ht="12.75" customHeight="1">
      <c r="A52" s="13" t="s">
        <v>71</v>
      </c>
      <c r="B52" s="24"/>
      <c r="C52" s="24"/>
      <c r="D52" s="35">
        <v>-7</v>
      </c>
    </row>
    <row r="53" spans="1:4" ht="12.75" customHeight="1">
      <c r="A53" s="13" t="s">
        <v>72</v>
      </c>
      <c r="B53" s="24">
        <v>-114147</v>
      </c>
      <c r="C53" s="24"/>
      <c r="D53" s="35">
        <v>1574</v>
      </c>
    </row>
    <row r="54" spans="1:4" ht="12.75" customHeight="1">
      <c r="A54" s="13" t="s">
        <v>73</v>
      </c>
      <c r="B54" s="24">
        <f>-751065-476441</f>
        <v>-1227506</v>
      </c>
      <c r="C54" s="24">
        <v>-39503</v>
      </c>
      <c r="D54" s="35">
        <v>-19840</v>
      </c>
    </row>
    <row r="55" spans="1:4" ht="12.75" customHeight="1">
      <c r="A55" s="17"/>
      <c r="B55" s="24"/>
      <c r="C55" s="24"/>
      <c r="D55" s="35"/>
    </row>
    <row r="56" spans="1:4" ht="12.75" customHeight="1">
      <c r="A56" s="11" t="s">
        <v>74</v>
      </c>
      <c r="B56" s="26">
        <f>SUM(B47:B54)</f>
        <v>285954</v>
      </c>
      <c r="C56" s="26">
        <f>SUM(C46:C55)</f>
        <v>18114</v>
      </c>
      <c r="D56" s="30">
        <f>SUM(D46:D55)</f>
        <v>-17163</v>
      </c>
    </row>
    <row r="57" spans="1:4" ht="12.75" customHeight="1">
      <c r="A57" s="17"/>
      <c r="B57" s="24"/>
      <c r="C57" s="24"/>
      <c r="D57" s="35"/>
    </row>
    <row r="58" spans="1:4" ht="12.75" customHeight="1">
      <c r="A58" s="11" t="s">
        <v>75</v>
      </c>
      <c r="B58" s="24"/>
      <c r="C58" s="24"/>
      <c r="D58" s="35"/>
    </row>
    <row r="59" spans="1:4" ht="12.75" customHeight="1">
      <c r="A59" s="13" t="s">
        <v>76</v>
      </c>
      <c r="B59" s="24"/>
      <c r="C59" s="24"/>
      <c r="D59" s="35"/>
    </row>
    <row r="60" spans="1:4" ht="12.75" customHeight="1">
      <c r="A60" s="13" t="s">
        <v>77</v>
      </c>
      <c r="B60" s="24"/>
      <c r="C60" s="24"/>
      <c r="D60" s="35"/>
    </row>
    <row r="61" spans="1:4" ht="12.75" customHeight="1">
      <c r="A61" s="13" t="s">
        <v>78</v>
      </c>
      <c r="B61" s="24"/>
      <c r="C61" s="24"/>
      <c r="D61" s="35"/>
    </row>
    <row r="62" spans="1:4" ht="12.75" customHeight="1">
      <c r="A62" s="13" t="s">
        <v>79</v>
      </c>
      <c r="B62" s="24"/>
      <c r="C62" s="24"/>
      <c r="D62" s="35">
        <v>77</v>
      </c>
    </row>
    <row r="63" spans="1:4" ht="12.75" customHeight="1">
      <c r="A63" s="13" t="s">
        <v>80</v>
      </c>
      <c r="B63" s="24"/>
      <c r="C63" s="24"/>
      <c r="D63" s="35"/>
    </row>
    <row r="64" spans="1:4" ht="12.75" customHeight="1">
      <c r="A64" s="13" t="s">
        <v>81</v>
      </c>
      <c r="B64" s="24"/>
      <c r="C64" s="24"/>
      <c r="D64" s="35"/>
    </row>
    <row r="65" spans="1:4" ht="12.75" customHeight="1">
      <c r="A65" s="13" t="s">
        <v>82</v>
      </c>
      <c r="B65" s="24">
        <v>-201618</v>
      </c>
      <c r="C65" s="24">
        <v>-4649</v>
      </c>
      <c r="D65" s="35"/>
    </row>
    <row r="66" spans="1:4" ht="12.75" customHeight="1">
      <c r="A66" s="13" t="s">
        <v>83</v>
      </c>
      <c r="B66" s="24"/>
      <c r="C66" s="24"/>
      <c r="D66" s="35"/>
    </row>
    <row r="67" spans="1:4" ht="12.75" customHeight="1">
      <c r="A67" s="17"/>
      <c r="B67" s="24"/>
      <c r="C67" s="24"/>
      <c r="D67" s="35"/>
    </row>
    <row r="68" spans="1:4" ht="12.75" customHeight="1">
      <c r="A68" s="11" t="s">
        <v>84</v>
      </c>
      <c r="B68" s="26">
        <f>SUM(B59:B66)</f>
        <v>-201618</v>
      </c>
      <c r="C68" s="26">
        <f>SUM(C59:C66)</f>
        <v>-4649</v>
      </c>
      <c r="D68" s="30">
        <f>SUM(D59:D66)</f>
        <v>77</v>
      </c>
    </row>
    <row r="69" spans="1:4" ht="12.75" customHeight="1">
      <c r="A69" s="17"/>
      <c r="B69" s="24"/>
      <c r="C69" s="24"/>
      <c r="D69" s="35"/>
    </row>
    <row r="70" spans="1:4" ht="12.75" customHeight="1">
      <c r="A70" s="11" t="s">
        <v>85</v>
      </c>
      <c r="B70" s="24"/>
      <c r="C70" s="24"/>
      <c r="D70" s="35"/>
    </row>
    <row r="71" spans="1:4" ht="12.75" customHeight="1">
      <c r="A71" s="13" t="s">
        <v>97</v>
      </c>
      <c r="B71" s="24"/>
      <c r="C71" s="24"/>
      <c r="D71" s="35"/>
    </row>
    <row r="72" spans="1:7" ht="12.75" customHeight="1">
      <c r="A72" s="13" t="s">
        <v>86</v>
      </c>
      <c r="B72" s="24"/>
      <c r="C72" s="24"/>
      <c r="D72" s="35"/>
      <c r="G72" s="43"/>
    </row>
    <row r="73" spans="1:4" ht="12.75" customHeight="1">
      <c r="A73" s="13" t="s">
        <v>87</v>
      </c>
      <c r="B73" s="24"/>
      <c r="C73" s="24">
        <v>-10000</v>
      </c>
      <c r="D73" s="35"/>
    </row>
    <row r="74" spans="1:4" ht="12.75" customHeight="1">
      <c r="A74" s="13" t="s">
        <v>88</v>
      </c>
      <c r="B74" s="24"/>
      <c r="C74" s="24"/>
      <c r="D74" s="35"/>
    </row>
    <row r="75" spans="1:4" ht="12.75" customHeight="1">
      <c r="A75" s="17"/>
      <c r="B75" s="24"/>
      <c r="C75" s="24"/>
      <c r="D75" s="35"/>
    </row>
    <row r="76" spans="1:4" ht="12.75" customHeight="1">
      <c r="A76" s="11" t="s">
        <v>89</v>
      </c>
      <c r="B76" s="36">
        <f>SUM(B71:B74)</f>
        <v>0</v>
      </c>
      <c r="C76" s="26">
        <f>SUM(C71:C74)</f>
        <v>-10000</v>
      </c>
      <c r="D76" s="52">
        <f>SUM(D71:D74)</f>
        <v>0</v>
      </c>
    </row>
    <row r="77" spans="1:4" ht="12.75" customHeight="1">
      <c r="A77" s="17"/>
      <c r="B77" s="24"/>
      <c r="C77" s="24"/>
      <c r="D77" s="35"/>
    </row>
    <row r="78" spans="1:8" ht="12.75" customHeight="1">
      <c r="A78" s="11" t="s">
        <v>90</v>
      </c>
      <c r="B78" s="26">
        <f>SUM(B56+(B68+B76))</f>
        <v>84336</v>
      </c>
      <c r="C78" s="26">
        <f>SUM(C56+(C68+C76))</f>
        <v>3465</v>
      </c>
      <c r="D78" s="30">
        <f>SUM(D56+(D68+D76))</f>
        <v>-17086</v>
      </c>
      <c r="H78" s="39" t="s">
        <v>105</v>
      </c>
    </row>
    <row r="79" spans="1:4" ht="12.75" customHeight="1">
      <c r="A79" s="11"/>
      <c r="B79" s="24"/>
      <c r="C79" s="24"/>
      <c r="D79" s="35"/>
    </row>
    <row r="80" spans="1:8" ht="12.75" customHeight="1">
      <c r="A80" s="11" t="s">
        <v>91</v>
      </c>
      <c r="B80" s="26">
        <v>236789</v>
      </c>
      <c r="C80" s="26">
        <v>3747</v>
      </c>
      <c r="D80" s="30">
        <v>41852</v>
      </c>
      <c r="H80" s="39" t="s">
        <v>106</v>
      </c>
    </row>
    <row r="81" spans="1:4" ht="12.75" customHeight="1">
      <c r="A81" s="11"/>
      <c r="B81" s="26"/>
      <c r="C81" s="26"/>
      <c r="D81" s="30"/>
    </row>
    <row r="82" spans="1:4" ht="12.75" customHeight="1">
      <c r="A82" s="11" t="s">
        <v>96</v>
      </c>
      <c r="B82" s="26">
        <v>-16998</v>
      </c>
      <c r="C82" s="26"/>
      <c r="D82" s="30">
        <v>-1038</v>
      </c>
    </row>
    <row r="83" spans="1:4" ht="12.75" customHeight="1">
      <c r="A83" s="17"/>
      <c r="B83" s="26"/>
      <c r="C83" s="26"/>
      <c r="D83" s="30"/>
    </row>
    <row r="84" spans="1:4" ht="12.75" customHeight="1" thickBot="1">
      <c r="A84" s="20" t="s">
        <v>92</v>
      </c>
      <c r="B84" s="27">
        <f>SUM(B78+B80+B82)</f>
        <v>304127</v>
      </c>
      <c r="C84" s="27">
        <f>SUM(C78+C80+C82)</f>
        <v>7212</v>
      </c>
      <c r="D84" s="31">
        <f>SUM(D78,D80,D82)</f>
        <v>23728</v>
      </c>
    </row>
  </sheetData>
  <sheetProtection/>
  <mergeCells count="2">
    <mergeCell ref="A1:K1"/>
    <mergeCell ref="A43:H43"/>
  </mergeCells>
  <printOptions/>
  <pageMargins left="0.66" right="0.4" top="0.32" bottom="0.4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Metalac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Biljana Stojanovic</cp:lastModifiedBy>
  <cp:lastPrinted>2011-11-09T10:47:09Z</cp:lastPrinted>
  <dcterms:created xsi:type="dcterms:W3CDTF">2009-02-24T07:04:59Z</dcterms:created>
  <dcterms:modified xsi:type="dcterms:W3CDTF">2011-11-14T09:50:06Z</dcterms:modified>
  <cp:category/>
  <cp:version/>
  <cp:contentType/>
  <cp:contentStatus/>
</cp:coreProperties>
</file>