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U III" sheetId="1" r:id="rId1"/>
    <sheet name="BS III" sheetId="2" r:id="rId2"/>
    <sheet name="novcani tok" sheetId="3" r:id="rId3"/>
  </sheets>
  <definedNames/>
  <calcPr fullCalcOnLoad="1"/>
</workbook>
</file>

<file path=xl/sharedStrings.xml><?xml version="1.0" encoding="utf-8"?>
<sst xmlns="http://schemas.openxmlformats.org/spreadsheetml/2006/main" count="220" uniqueCount="110">
  <si>
    <t>u 000 din</t>
  </si>
  <si>
    <t>METALAC a.d.</t>
  </si>
  <si>
    <t>POSUĐE</t>
  </si>
  <si>
    <t>INKO</t>
  </si>
  <si>
    <t>PRINT</t>
  </si>
  <si>
    <t>BOJLER</t>
  </si>
  <si>
    <t>MARKET</t>
  </si>
  <si>
    <t>TRADE</t>
  </si>
  <si>
    <t>METALURGIJA</t>
  </si>
  <si>
    <t>PROLETER</t>
  </si>
  <si>
    <t>METROT</t>
  </si>
  <si>
    <t>MARKET-Podgorica</t>
  </si>
  <si>
    <t>PROMO-METAL</t>
  </si>
  <si>
    <t>u eur</t>
  </si>
  <si>
    <t>Stalna imovina</t>
  </si>
  <si>
    <t>Obrtna imovina</t>
  </si>
  <si>
    <t>Kapital</t>
  </si>
  <si>
    <t>Dugoročne obaveze</t>
  </si>
  <si>
    <t>Nematerijlna ulaganja,nekretnine i oprema</t>
  </si>
  <si>
    <t xml:space="preserve">Učešće u kapitalu                  </t>
  </si>
  <si>
    <t>AKTIVA</t>
  </si>
  <si>
    <t>PASIVA</t>
  </si>
  <si>
    <t>Osnovni kapital</t>
  </si>
  <si>
    <t>Ostali kapital</t>
  </si>
  <si>
    <t>Neraspoređena dobit</t>
  </si>
  <si>
    <t>Gubitak</t>
  </si>
  <si>
    <t>Dugoročna rezervisanja</t>
  </si>
  <si>
    <t>Dugoročni krediti</t>
  </si>
  <si>
    <t>Kratkoročne obaveze</t>
  </si>
  <si>
    <t>Obaveze iz poslovanja (dobavljači)</t>
  </si>
  <si>
    <t>Ostale obaveze</t>
  </si>
  <si>
    <t>Odložne poreske obaveze</t>
  </si>
  <si>
    <t>Rezerve</t>
  </si>
  <si>
    <t>Kratkoročni kreidti</t>
  </si>
  <si>
    <t>Gubitak iznad visine kapitala</t>
  </si>
  <si>
    <t>Ostale dugoročne obaveze (zajmovi)</t>
  </si>
  <si>
    <t>Dugoročni zajmovi ZD</t>
  </si>
  <si>
    <t>Potraživanja (kupci)</t>
  </si>
  <si>
    <t>Kratkoročni zajmovi ZD</t>
  </si>
  <si>
    <t>Krat. fin.plasmani (potrošački zajmovi)</t>
  </si>
  <si>
    <t>Zalihe</t>
  </si>
  <si>
    <t>Ostala potraživanja</t>
  </si>
  <si>
    <t>Gotovina i gotovinski ekvivalent</t>
  </si>
  <si>
    <t>POSLOVNI PRIHODI</t>
  </si>
  <si>
    <t>Prihod od prodaje</t>
  </si>
  <si>
    <t>Prihod od prodaje na domaćem tržištu</t>
  </si>
  <si>
    <t>Prihod od prodaje na ino. tržištu</t>
  </si>
  <si>
    <t>Prihod od aktiviranja učinaka i robe</t>
  </si>
  <si>
    <t>Povećanje vrednosti zaliha učinaka</t>
  </si>
  <si>
    <t>Smanjnje vrednosti zaliha učinaka</t>
  </si>
  <si>
    <t>Ostali poslovni prihodi</t>
  </si>
  <si>
    <t>POSLOVNI RASHODI</t>
  </si>
  <si>
    <t>Nabavna rvrednost prodate robe</t>
  </si>
  <si>
    <t>Troškovi materijala i energije</t>
  </si>
  <si>
    <t>Troškovi zarada i ostali lični rashodi</t>
  </si>
  <si>
    <t>Troškovi amortizacije</t>
  </si>
  <si>
    <t>Ostali poslovni rashodi</t>
  </si>
  <si>
    <t>POSLOVNI DOBITAK / GUBITAK</t>
  </si>
  <si>
    <t>FINANSIJSKI PRIHODI</t>
  </si>
  <si>
    <t>FINANSIJSKI RASHODI</t>
  </si>
  <si>
    <t>OSTALI PRIHODI</t>
  </si>
  <si>
    <t>OSTALI RASHODI</t>
  </si>
  <si>
    <t>FINANSIJSKI DOBITAK / GUBITAK</t>
  </si>
  <si>
    <t>OSTALI DOBITAK / GUBITAK</t>
  </si>
  <si>
    <t>Tokovi gotovine iz poslovnih aktivnosti</t>
  </si>
  <si>
    <t>Prodaja i primljeni avansi</t>
  </si>
  <si>
    <t>Primljene kamate iz poslovnih aktivnosti</t>
  </si>
  <si>
    <t>Ostali prilivi iz redovnog poslovanja</t>
  </si>
  <si>
    <t>Isplate dobavljačima i dati avansi</t>
  </si>
  <si>
    <t>Zarade, naknade zarada i ostali lični rashodi</t>
  </si>
  <si>
    <t>Plaćene kamate</t>
  </si>
  <si>
    <t>Porez na dobitak</t>
  </si>
  <si>
    <t>Plaćanja po osnovu ostalih javnih prihoda</t>
  </si>
  <si>
    <t>Neto priliv/odliv iz poslovnih aktivnosti</t>
  </si>
  <si>
    <t>Tokovi gotovine iz aktivnosti investiranja</t>
  </si>
  <si>
    <t>Prodaja akcija i udela (neto priliv)</t>
  </si>
  <si>
    <t>Prodaja nekretnina, postrojenja i opreme</t>
  </si>
  <si>
    <t>Ostali finansijski plasmani (neto priliv)</t>
  </si>
  <si>
    <t>Primljene kamate</t>
  </si>
  <si>
    <t>Primljene dividende</t>
  </si>
  <si>
    <t>Kupovina akcija i udela (neto odliv)</t>
  </si>
  <si>
    <t>Kupovina nemater. ulaganja, nekretnina i opreme</t>
  </si>
  <si>
    <t>Ostali finansijski plasmnai (neto odliv)</t>
  </si>
  <si>
    <t>Neto priliv/odliv iz aktivnosti investiranja</t>
  </si>
  <si>
    <t>Tokovi gotovine iz aktivnosti finansiranja</t>
  </si>
  <si>
    <t>Dugoročni i kratkoročni krediti (neto priliv/odliv)</t>
  </si>
  <si>
    <t>Isplaćena dividenda i učešća u dobitku</t>
  </si>
  <si>
    <t>Finansijski lizing</t>
  </si>
  <si>
    <t>Neto odliv iz aktivnosti finansiranja</t>
  </si>
  <si>
    <t>Neto priliv/odliv gotovine</t>
  </si>
  <si>
    <t>Gotovina na početku obračunskog perioda</t>
  </si>
  <si>
    <t>Gotovina na kraju obračunskog perioda</t>
  </si>
  <si>
    <t xml:space="preserve">Pozitivne kursne razlike </t>
  </si>
  <si>
    <t>METPOR</t>
  </si>
  <si>
    <t>Pozitivne(negativne) kusne razlike</t>
  </si>
  <si>
    <t>Uvećanje osnovnog kapitala</t>
  </si>
  <si>
    <t>Ostali finansijski plasmnai (neto priliv/odliv)</t>
  </si>
  <si>
    <t>Kratkoročni krediti</t>
  </si>
  <si>
    <t>METALAC UKRAJINA</t>
  </si>
  <si>
    <t>METALAC GROUP - USA</t>
  </si>
  <si>
    <t xml:space="preserve">BRUTO DOBITAK / GUBITAK </t>
  </si>
  <si>
    <t>Odložena poreska sredstva</t>
  </si>
  <si>
    <t>BILANS USPEHA - METALAC GRUPA ZA PERIOD JANUAR-MART 2012.god (domaće)</t>
  </si>
  <si>
    <t>BILANS USPEHA - METALAC GRUPA ZA PERIOD JANUAR-MART 2012.god (ino)</t>
  </si>
  <si>
    <t>BILANS STANJA - METALAC GRUPA ZA PERIOD JANUAR-MART 2012.god (ino)</t>
  </si>
  <si>
    <t>BILANS STANJA - METALAC GRUPA ZA PERIOD JANUAR-MART 2012.god (domaće)</t>
  </si>
  <si>
    <t>IZVEŠTAJ O TOKOVIMA GOTOVINE - METALAC GRUPA ZA PERIOD JANUAR-MART 2012.god.(ino)</t>
  </si>
  <si>
    <t>IZVEŠTAJ O TOKOVIMA GOTOVINE  - METALAC GRUPA ZA PERIOD JANUAR-MART 2012.god.(domaće)</t>
  </si>
  <si>
    <t>GENERALNI DIREKTOR</t>
  </si>
  <si>
    <t>Petrašin Jakovljević, dipl. ing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</si>
</sst>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;[Red]#,##0"/>
    <numFmt numFmtId="176" formatCode="#,##0;[Black]\(#,##0\)"/>
  </numFmts>
  <fonts count="43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3" fontId="4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top" wrapText="1"/>
    </xf>
    <xf numFmtId="176" fontId="4" fillId="0" borderId="10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7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76" fontId="4" fillId="0" borderId="13" xfId="0" applyNumberFormat="1" applyFont="1" applyBorder="1" applyAlignment="1">
      <alignment horizontal="right" vertical="center" wrapText="1"/>
    </xf>
    <xf numFmtId="176" fontId="3" fillId="0" borderId="21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3" fontId="4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22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vertical="top" wrapText="1"/>
    </xf>
    <xf numFmtId="3" fontId="4" fillId="0" borderId="22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176" fontId="4" fillId="0" borderId="22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vertical="top" wrapText="1"/>
    </xf>
    <xf numFmtId="3" fontId="4" fillId="0" borderId="21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176" fontId="4" fillId="0" borderId="21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/>
    </xf>
    <xf numFmtId="176" fontId="3" fillId="0" borderId="25" xfId="0" applyNumberFormat="1" applyFont="1" applyBorder="1" applyAlignment="1">
      <alignment horizontal="right" vertical="center" wrapText="1"/>
    </xf>
    <xf numFmtId="176" fontId="3" fillId="0" borderId="24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176" fontId="3" fillId="0" borderId="27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176" fontId="3" fillId="0" borderId="18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28">
      <selection activeCell="B40" sqref="B40:F40"/>
    </sheetView>
  </sheetViews>
  <sheetFormatPr defaultColWidth="9.140625" defaultRowHeight="12.75"/>
  <cols>
    <col min="1" max="1" width="34.00390625" style="33" customWidth="1"/>
    <col min="2" max="2" width="10.8515625" style="33" customWidth="1"/>
    <col min="3" max="3" width="8.8515625" style="33" customWidth="1"/>
    <col min="4" max="4" width="8.28125" style="33" customWidth="1"/>
    <col min="5" max="5" width="9.57421875" style="33" customWidth="1"/>
    <col min="6" max="6" width="9.28125" style="33" customWidth="1"/>
    <col min="7" max="7" width="9.57421875" style="33" customWidth="1"/>
    <col min="8" max="8" width="9.00390625" style="33" customWidth="1"/>
    <col min="9" max="9" width="9.57421875" style="33" customWidth="1"/>
    <col min="10" max="10" width="12.28125" style="33" customWidth="1"/>
    <col min="11" max="11" width="10.7109375" style="33" customWidth="1"/>
    <col min="12" max="16384" width="9.140625" style="33" customWidth="1"/>
  </cols>
  <sheetData>
    <row r="1" spans="1:9" ht="14.25" customHeight="1">
      <c r="A1" s="76" t="s">
        <v>102</v>
      </c>
      <c r="B1" s="76"/>
      <c r="C1" s="76"/>
      <c r="D1" s="76"/>
      <c r="E1" s="76"/>
      <c r="F1" s="76"/>
      <c r="G1" s="76"/>
      <c r="H1" s="76"/>
      <c r="I1" s="41"/>
    </row>
    <row r="2" spans="1:11" ht="16.5" customHeight="1" thickBot="1">
      <c r="A2" s="1"/>
      <c r="B2" s="1"/>
      <c r="C2" s="34"/>
      <c r="D2" s="21"/>
      <c r="E2" s="21"/>
      <c r="F2" s="21"/>
      <c r="G2" s="35"/>
      <c r="H2" s="35"/>
      <c r="I2" s="35"/>
      <c r="K2" s="38" t="s">
        <v>0</v>
      </c>
    </row>
    <row r="3" spans="1:11" ht="16.5" customHeight="1">
      <c r="A3" s="6"/>
      <c r="B3" s="72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93</v>
      </c>
      <c r="J3" s="73" t="s">
        <v>8</v>
      </c>
      <c r="K3" s="74" t="s">
        <v>9</v>
      </c>
    </row>
    <row r="4" spans="1:11" ht="12.75" customHeight="1">
      <c r="A4" s="7" t="s">
        <v>43</v>
      </c>
      <c r="B4" s="5">
        <f>B6+B9+B10-B11+B12</f>
        <v>174211</v>
      </c>
      <c r="C4" s="5">
        <f>C6+C9+C10+C11+C12</f>
        <v>606199</v>
      </c>
      <c r="D4" s="5">
        <f>D6+D9+D10+D11+D12</f>
        <v>48486</v>
      </c>
      <c r="E4" s="5">
        <f>E6+E9+E10+E11+E12</f>
        <v>96294</v>
      </c>
      <c r="F4" s="5">
        <f aca="true" t="shared" si="0" ref="F4:K4">F6+F9+F10-F11+F12</f>
        <v>85192</v>
      </c>
      <c r="G4" s="5">
        <f t="shared" si="0"/>
        <v>176972</v>
      </c>
      <c r="H4" s="5">
        <f t="shared" si="0"/>
        <v>81546</v>
      </c>
      <c r="I4" s="5">
        <f t="shared" si="0"/>
        <v>12697</v>
      </c>
      <c r="J4" s="5">
        <f t="shared" si="0"/>
        <v>131221</v>
      </c>
      <c r="K4" s="8">
        <f t="shared" si="0"/>
        <v>162576</v>
      </c>
    </row>
    <row r="5" spans="1:11" ht="12.75" customHeight="1">
      <c r="A5" s="9"/>
      <c r="B5" s="3"/>
      <c r="C5" s="3"/>
      <c r="D5" s="3"/>
      <c r="E5" s="3"/>
      <c r="F5" s="3"/>
      <c r="G5" s="3"/>
      <c r="H5" s="3"/>
      <c r="I5" s="3"/>
      <c r="J5" s="3"/>
      <c r="K5" s="10"/>
    </row>
    <row r="6" spans="1:11" ht="12.75" customHeight="1">
      <c r="A6" s="7" t="s">
        <v>44</v>
      </c>
      <c r="B6" s="4">
        <f aca="true" t="shared" si="1" ref="B6:K6">SUM(B7:B8)</f>
        <v>86751</v>
      </c>
      <c r="C6" s="4">
        <f t="shared" si="1"/>
        <v>586406</v>
      </c>
      <c r="D6" s="4">
        <f t="shared" si="1"/>
        <v>38857</v>
      </c>
      <c r="E6" s="4">
        <f t="shared" si="1"/>
        <v>96386</v>
      </c>
      <c r="F6" s="4">
        <f t="shared" si="1"/>
        <v>76380</v>
      </c>
      <c r="G6" s="4">
        <f t="shared" si="1"/>
        <v>176736</v>
      </c>
      <c r="H6" s="4">
        <f t="shared" si="1"/>
        <v>81546</v>
      </c>
      <c r="I6" s="4">
        <f t="shared" si="1"/>
        <v>12320</v>
      </c>
      <c r="J6" s="4">
        <f t="shared" si="1"/>
        <v>125199</v>
      </c>
      <c r="K6" s="11">
        <f t="shared" si="1"/>
        <v>151380</v>
      </c>
    </row>
    <row r="7" spans="1:11" ht="12.75" customHeight="1">
      <c r="A7" s="9" t="s">
        <v>45</v>
      </c>
      <c r="B7" s="3">
        <v>62731</v>
      </c>
      <c r="C7" s="3">
        <v>171634</v>
      </c>
      <c r="D7" s="3">
        <v>22118</v>
      </c>
      <c r="E7" s="3">
        <v>96386</v>
      </c>
      <c r="F7" s="3">
        <v>56945</v>
      </c>
      <c r="G7" s="3">
        <v>176736</v>
      </c>
      <c r="H7" s="3">
        <v>57524</v>
      </c>
      <c r="I7" s="3">
        <f>10237+2083</f>
        <v>12320</v>
      </c>
      <c r="J7" s="3">
        <v>125199</v>
      </c>
      <c r="K7" s="10">
        <v>151380</v>
      </c>
    </row>
    <row r="8" spans="1:11" ht="12.75" customHeight="1">
      <c r="A8" s="9" t="s">
        <v>46</v>
      </c>
      <c r="B8" s="3">
        <v>24020</v>
      </c>
      <c r="C8" s="3">
        <v>414772</v>
      </c>
      <c r="D8" s="3">
        <v>16739</v>
      </c>
      <c r="E8" s="3">
        <v>0</v>
      </c>
      <c r="F8" s="3">
        <v>19435</v>
      </c>
      <c r="G8" s="3">
        <v>0</v>
      </c>
      <c r="H8" s="3">
        <v>24022</v>
      </c>
      <c r="I8" s="3">
        <v>0</v>
      </c>
      <c r="J8" s="3">
        <v>0</v>
      </c>
      <c r="K8" s="10">
        <v>0</v>
      </c>
    </row>
    <row r="9" spans="1:11" ht="12.75" customHeight="1">
      <c r="A9" s="9" t="s">
        <v>47</v>
      </c>
      <c r="B9" s="3">
        <v>0</v>
      </c>
      <c r="C9" s="3">
        <v>1993</v>
      </c>
      <c r="D9" s="3">
        <v>39</v>
      </c>
      <c r="E9" s="20">
        <v>0</v>
      </c>
      <c r="F9" s="3">
        <v>48</v>
      </c>
      <c r="G9" s="3">
        <v>11</v>
      </c>
      <c r="H9" s="3">
        <v>0</v>
      </c>
      <c r="I9" s="3">
        <v>0</v>
      </c>
      <c r="J9" s="3">
        <v>180</v>
      </c>
      <c r="K9" s="10">
        <v>205</v>
      </c>
    </row>
    <row r="10" spans="1:11" ht="12.75" customHeight="1">
      <c r="A10" s="9" t="s">
        <v>48</v>
      </c>
      <c r="B10" s="3">
        <v>0</v>
      </c>
      <c r="C10" s="3">
        <v>13109</v>
      </c>
      <c r="D10" s="3">
        <v>9671</v>
      </c>
      <c r="E10" s="3">
        <v>428</v>
      </c>
      <c r="F10" s="20">
        <v>8263</v>
      </c>
      <c r="G10" s="3">
        <v>0</v>
      </c>
      <c r="H10" s="3">
        <v>0</v>
      </c>
      <c r="I10" s="3">
        <v>0</v>
      </c>
      <c r="J10" s="3">
        <v>0</v>
      </c>
      <c r="K10" s="10">
        <v>0</v>
      </c>
    </row>
    <row r="11" spans="1:11" ht="12.75" customHeight="1">
      <c r="A11" s="9" t="s">
        <v>49</v>
      </c>
      <c r="B11" s="3">
        <v>0</v>
      </c>
      <c r="C11" s="20">
        <v>-8278</v>
      </c>
      <c r="D11" s="20">
        <v>-777</v>
      </c>
      <c r="E11" s="20">
        <v>-1164</v>
      </c>
      <c r="F11" s="20">
        <v>0</v>
      </c>
      <c r="G11" s="3">
        <v>0</v>
      </c>
      <c r="H11" s="3">
        <v>0</v>
      </c>
      <c r="I11" s="3">
        <v>0</v>
      </c>
      <c r="J11" s="3">
        <v>0</v>
      </c>
      <c r="K11" s="10">
        <v>0</v>
      </c>
    </row>
    <row r="12" spans="1:11" ht="12.75" customHeight="1">
      <c r="A12" s="9" t="s">
        <v>50</v>
      </c>
      <c r="B12" s="3">
        <v>87460</v>
      </c>
      <c r="C12" s="3">
        <v>12969</v>
      </c>
      <c r="D12" s="3">
        <v>696</v>
      </c>
      <c r="E12" s="3">
        <v>644</v>
      </c>
      <c r="F12" s="3">
        <v>501</v>
      </c>
      <c r="G12" s="3">
        <v>225</v>
      </c>
      <c r="H12" s="3">
        <v>0</v>
      </c>
      <c r="I12" s="3">
        <v>377</v>
      </c>
      <c r="J12" s="3">
        <v>5842</v>
      </c>
      <c r="K12" s="10">
        <v>10991</v>
      </c>
    </row>
    <row r="13" spans="1:11" ht="12.75" customHeight="1">
      <c r="A13" s="9"/>
      <c r="B13" s="3"/>
      <c r="C13" s="3"/>
      <c r="D13" s="3"/>
      <c r="E13" s="3"/>
      <c r="F13" s="3"/>
      <c r="G13" s="4"/>
      <c r="H13" s="4"/>
      <c r="I13" s="4"/>
      <c r="J13" s="4"/>
      <c r="K13" s="11"/>
    </row>
    <row r="14" spans="1:11" ht="12.75" customHeight="1">
      <c r="A14" s="7" t="s">
        <v>51</v>
      </c>
      <c r="B14" s="4">
        <f aca="true" t="shared" si="2" ref="B14:K14">SUM(B16:B20)</f>
        <v>157036</v>
      </c>
      <c r="C14" s="4">
        <f t="shared" si="2"/>
        <v>490767</v>
      </c>
      <c r="D14" s="4">
        <f t="shared" si="2"/>
        <v>49219</v>
      </c>
      <c r="E14" s="4">
        <f t="shared" si="2"/>
        <v>83134</v>
      </c>
      <c r="F14" s="4">
        <f t="shared" si="2"/>
        <v>85167</v>
      </c>
      <c r="G14" s="4">
        <f t="shared" si="2"/>
        <v>191441</v>
      </c>
      <c r="H14" s="4">
        <f t="shared" si="2"/>
        <v>60615</v>
      </c>
      <c r="I14" s="4">
        <f t="shared" si="2"/>
        <v>12040</v>
      </c>
      <c r="J14" s="4">
        <f t="shared" si="2"/>
        <v>132306</v>
      </c>
      <c r="K14" s="11">
        <f t="shared" si="2"/>
        <v>162343</v>
      </c>
    </row>
    <row r="15" spans="1:11" ht="12.75" customHeight="1">
      <c r="A15" s="9"/>
      <c r="B15" s="3"/>
      <c r="C15" s="3"/>
      <c r="D15" s="3"/>
      <c r="E15" s="3"/>
      <c r="F15" s="3"/>
      <c r="G15" s="3"/>
      <c r="H15" s="3"/>
      <c r="I15" s="3"/>
      <c r="J15" s="3"/>
      <c r="K15" s="10"/>
    </row>
    <row r="16" spans="1:11" ht="12.75" customHeight="1">
      <c r="A16" s="9" t="s">
        <v>52</v>
      </c>
      <c r="B16" s="3">
        <v>1249</v>
      </c>
      <c r="C16" s="3">
        <v>5348</v>
      </c>
      <c r="D16" s="3">
        <v>437</v>
      </c>
      <c r="E16" s="3">
        <v>16617</v>
      </c>
      <c r="F16" s="3">
        <v>0</v>
      </c>
      <c r="G16" s="3">
        <v>143645</v>
      </c>
      <c r="H16" s="3">
        <v>46320</v>
      </c>
      <c r="I16" s="3">
        <v>9251</v>
      </c>
      <c r="J16" s="3">
        <v>100803</v>
      </c>
      <c r="K16" s="10">
        <v>128025</v>
      </c>
    </row>
    <row r="17" spans="1:11" ht="12.75" customHeight="1">
      <c r="A17" s="9" t="s">
        <v>53</v>
      </c>
      <c r="B17" s="3">
        <v>62441</v>
      </c>
      <c r="C17" s="3">
        <v>276161</v>
      </c>
      <c r="D17" s="3">
        <v>30570</v>
      </c>
      <c r="E17" s="3">
        <v>42658</v>
      </c>
      <c r="F17" s="3">
        <v>52926</v>
      </c>
      <c r="G17" s="3">
        <v>1934</v>
      </c>
      <c r="H17" s="3">
        <v>856</v>
      </c>
      <c r="I17" s="3">
        <v>43</v>
      </c>
      <c r="J17" s="3">
        <v>3507</v>
      </c>
      <c r="K17" s="10">
        <v>6436</v>
      </c>
    </row>
    <row r="18" spans="1:11" ht="12.75" customHeight="1">
      <c r="A18" s="9" t="s">
        <v>54</v>
      </c>
      <c r="B18" s="3">
        <v>39374</v>
      </c>
      <c r="C18" s="3">
        <v>108199</v>
      </c>
      <c r="D18" s="3">
        <v>6946</v>
      </c>
      <c r="E18" s="3">
        <v>11489</v>
      </c>
      <c r="F18" s="3">
        <v>13022</v>
      </c>
      <c r="G18" s="3">
        <v>22766</v>
      </c>
      <c r="H18" s="3">
        <v>5014</v>
      </c>
      <c r="I18" s="3">
        <v>2207</v>
      </c>
      <c r="J18" s="3">
        <v>18149</v>
      </c>
      <c r="K18" s="10">
        <v>17692</v>
      </c>
    </row>
    <row r="19" spans="1:11" ht="12.75" customHeight="1">
      <c r="A19" s="9" t="s">
        <v>55</v>
      </c>
      <c r="B19" s="3">
        <v>25377</v>
      </c>
      <c r="C19" s="3">
        <v>5976</v>
      </c>
      <c r="D19" s="3">
        <v>3135</v>
      </c>
      <c r="E19" s="3">
        <v>610</v>
      </c>
      <c r="F19" s="3">
        <v>4140</v>
      </c>
      <c r="G19" s="3">
        <v>995</v>
      </c>
      <c r="H19" s="3">
        <v>248</v>
      </c>
      <c r="I19" s="3">
        <v>111</v>
      </c>
      <c r="J19" s="3">
        <v>2887</v>
      </c>
      <c r="K19" s="10">
        <v>3133</v>
      </c>
    </row>
    <row r="20" spans="1:11" ht="12.75" customHeight="1">
      <c r="A20" s="9" t="s">
        <v>56</v>
      </c>
      <c r="B20" s="3">
        <v>28595</v>
      </c>
      <c r="C20" s="3">
        <v>95083</v>
      </c>
      <c r="D20" s="3">
        <v>8131</v>
      </c>
      <c r="E20" s="3">
        <v>11760</v>
      </c>
      <c r="F20" s="3">
        <v>15079</v>
      </c>
      <c r="G20" s="3">
        <v>22101</v>
      </c>
      <c r="H20" s="3">
        <v>8177</v>
      </c>
      <c r="I20" s="3">
        <v>428</v>
      </c>
      <c r="J20" s="3">
        <v>6960</v>
      </c>
      <c r="K20" s="10">
        <v>7057</v>
      </c>
    </row>
    <row r="21" spans="1:11" ht="12.75" customHeight="1">
      <c r="A21" s="9"/>
      <c r="B21" s="3"/>
      <c r="C21" s="3"/>
      <c r="D21" s="3"/>
      <c r="E21" s="3"/>
      <c r="F21" s="3"/>
      <c r="G21" s="3"/>
      <c r="H21" s="3"/>
      <c r="I21" s="3"/>
      <c r="J21" s="3"/>
      <c r="K21" s="10"/>
    </row>
    <row r="22" spans="1:11" ht="12.75" customHeight="1">
      <c r="A22" s="7" t="s">
        <v>57</v>
      </c>
      <c r="B22" s="4">
        <f aca="true" t="shared" si="3" ref="B22:K22">SUM(B4-B14)</f>
        <v>17175</v>
      </c>
      <c r="C22" s="4">
        <f t="shared" si="3"/>
        <v>115432</v>
      </c>
      <c r="D22" s="22">
        <f t="shared" si="3"/>
        <v>-733</v>
      </c>
      <c r="E22" s="22">
        <f t="shared" si="3"/>
        <v>13160</v>
      </c>
      <c r="F22" s="22">
        <f t="shared" si="3"/>
        <v>25</v>
      </c>
      <c r="G22" s="22">
        <f t="shared" si="3"/>
        <v>-14469</v>
      </c>
      <c r="H22" s="22">
        <f t="shared" si="3"/>
        <v>20931</v>
      </c>
      <c r="I22" s="22">
        <f t="shared" si="3"/>
        <v>657</v>
      </c>
      <c r="J22" s="22">
        <f t="shared" si="3"/>
        <v>-1085</v>
      </c>
      <c r="K22" s="25">
        <f t="shared" si="3"/>
        <v>233</v>
      </c>
    </row>
    <row r="23" spans="1:11" ht="12.75" customHeight="1">
      <c r="A23" s="14"/>
      <c r="B23" s="3"/>
      <c r="C23" s="3"/>
      <c r="D23" s="3"/>
      <c r="E23" s="3"/>
      <c r="F23" s="3"/>
      <c r="G23" s="3"/>
      <c r="H23" s="3"/>
      <c r="I23" s="3"/>
      <c r="J23" s="3"/>
      <c r="K23" s="10"/>
    </row>
    <row r="24" spans="1:11" ht="12.75" customHeight="1">
      <c r="A24" s="19" t="s">
        <v>58</v>
      </c>
      <c r="B24" s="4">
        <v>20447</v>
      </c>
      <c r="C24" s="4">
        <v>54676</v>
      </c>
      <c r="D24" s="22">
        <v>463</v>
      </c>
      <c r="E24" s="4">
        <v>401</v>
      </c>
      <c r="F24" s="4">
        <v>3263</v>
      </c>
      <c r="G24" s="4">
        <v>13922</v>
      </c>
      <c r="H24" s="4">
        <v>1150</v>
      </c>
      <c r="I24" s="4">
        <v>16</v>
      </c>
      <c r="J24" s="4">
        <v>1497</v>
      </c>
      <c r="K24" s="11">
        <v>911</v>
      </c>
    </row>
    <row r="25" spans="1:11" ht="12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10"/>
    </row>
    <row r="26" spans="1:11" ht="12.75" customHeight="1">
      <c r="A26" s="7" t="s">
        <v>59</v>
      </c>
      <c r="B26" s="4">
        <v>22955</v>
      </c>
      <c r="C26" s="4">
        <v>60256</v>
      </c>
      <c r="D26" s="4">
        <v>4498</v>
      </c>
      <c r="E26" s="4">
        <v>1395</v>
      </c>
      <c r="F26" s="4">
        <v>2691</v>
      </c>
      <c r="G26" s="4">
        <v>2852</v>
      </c>
      <c r="H26" s="4">
        <v>1630</v>
      </c>
      <c r="I26" s="4">
        <v>307</v>
      </c>
      <c r="J26" s="4">
        <v>551</v>
      </c>
      <c r="K26" s="11">
        <v>1501</v>
      </c>
    </row>
    <row r="27" spans="1:11" ht="12.75" customHeight="1">
      <c r="A27" s="7"/>
      <c r="B27" s="4"/>
      <c r="C27" s="4"/>
      <c r="D27" s="4"/>
      <c r="E27" s="4"/>
      <c r="F27" s="4"/>
      <c r="G27" s="4"/>
      <c r="H27" s="4"/>
      <c r="I27" s="4"/>
      <c r="J27" s="4"/>
      <c r="K27" s="11"/>
    </row>
    <row r="28" spans="1:11" ht="12.75" customHeight="1">
      <c r="A28" s="7" t="s">
        <v>62</v>
      </c>
      <c r="B28" s="22">
        <f>SUM(B24-B26)</f>
        <v>-2508</v>
      </c>
      <c r="C28" s="22">
        <f>SUM(C24-C26)</f>
        <v>-5580</v>
      </c>
      <c r="D28" s="22">
        <f aca="true" t="shared" si="4" ref="D28:K28">SUM(D24-D26)</f>
        <v>-4035</v>
      </c>
      <c r="E28" s="22">
        <f t="shared" si="4"/>
        <v>-994</v>
      </c>
      <c r="F28" s="22">
        <f t="shared" si="4"/>
        <v>572</v>
      </c>
      <c r="G28" s="22">
        <f t="shared" si="4"/>
        <v>11070</v>
      </c>
      <c r="H28" s="22">
        <f t="shared" si="4"/>
        <v>-480</v>
      </c>
      <c r="I28" s="22">
        <f t="shared" si="4"/>
        <v>-291</v>
      </c>
      <c r="J28" s="22">
        <f t="shared" si="4"/>
        <v>946</v>
      </c>
      <c r="K28" s="25">
        <f t="shared" si="4"/>
        <v>-590</v>
      </c>
    </row>
    <row r="29" spans="1:11" ht="12.75" customHeight="1">
      <c r="A29" s="9"/>
      <c r="B29" s="3"/>
      <c r="C29" s="3"/>
      <c r="D29" s="3"/>
      <c r="E29" s="3"/>
      <c r="F29" s="3"/>
      <c r="G29" s="3"/>
      <c r="H29" s="3"/>
      <c r="I29" s="3"/>
      <c r="J29" s="3"/>
      <c r="K29" s="10"/>
    </row>
    <row r="30" spans="1:11" ht="12.75" customHeight="1">
      <c r="A30" s="7" t="s">
        <v>60</v>
      </c>
      <c r="B30" s="4">
        <v>57</v>
      </c>
      <c r="C30" s="4">
        <v>5</v>
      </c>
      <c r="D30" s="4">
        <v>93</v>
      </c>
      <c r="E30" s="4">
        <v>0</v>
      </c>
      <c r="F30" s="4">
        <v>56</v>
      </c>
      <c r="G30" s="4">
        <v>5670</v>
      </c>
      <c r="H30" s="4">
        <v>0</v>
      </c>
      <c r="I30" s="4">
        <v>0</v>
      </c>
      <c r="J30" s="4">
        <v>793</v>
      </c>
      <c r="K30" s="11">
        <v>1768</v>
      </c>
    </row>
    <row r="31" spans="1:11" ht="12.75" customHeight="1">
      <c r="A31" s="7"/>
      <c r="B31" s="4"/>
      <c r="C31" s="4"/>
      <c r="D31" s="4"/>
      <c r="E31" s="4"/>
      <c r="F31" s="4"/>
      <c r="G31" s="4"/>
      <c r="H31" s="4"/>
      <c r="I31" s="4"/>
      <c r="J31" s="4"/>
      <c r="K31" s="11"/>
    </row>
    <row r="32" spans="1:11" ht="12.75" customHeight="1">
      <c r="A32" s="7" t="s">
        <v>61</v>
      </c>
      <c r="B32" s="4">
        <v>65</v>
      </c>
      <c r="C32" s="4">
        <v>7627</v>
      </c>
      <c r="D32" s="4">
        <v>69</v>
      </c>
      <c r="E32" s="4">
        <v>285</v>
      </c>
      <c r="F32" s="4">
        <v>150</v>
      </c>
      <c r="G32" s="4">
        <v>657</v>
      </c>
      <c r="H32" s="4">
        <v>1888</v>
      </c>
      <c r="I32" s="4">
        <v>0</v>
      </c>
      <c r="J32" s="4">
        <v>14</v>
      </c>
      <c r="K32" s="11">
        <v>1299</v>
      </c>
    </row>
    <row r="33" spans="1:11" ht="12.75" customHeight="1">
      <c r="A33" s="7"/>
      <c r="B33" s="4"/>
      <c r="C33" s="4"/>
      <c r="D33" s="4"/>
      <c r="E33" s="4"/>
      <c r="F33" s="4"/>
      <c r="G33" s="4"/>
      <c r="H33" s="4"/>
      <c r="I33" s="4"/>
      <c r="J33" s="4"/>
      <c r="K33" s="11"/>
    </row>
    <row r="34" spans="1:11" ht="12.75" customHeight="1">
      <c r="A34" s="7" t="s">
        <v>63</v>
      </c>
      <c r="B34" s="22">
        <f>B30-B32</f>
        <v>-8</v>
      </c>
      <c r="C34" s="22">
        <f>C30-C32</f>
        <v>-7622</v>
      </c>
      <c r="D34" s="22">
        <f aca="true" t="shared" si="5" ref="D34:K34">D30-D32</f>
        <v>24</v>
      </c>
      <c r="E34" s="22">
        <f t="shared" si="5"/>
        <v>-285</v>
      </c>
      <c r="F34" s="22">
        <f t="shared" si="5"/>
        <v>-94</v>
      </c>
      <c r="G34" s="22">
        <f t="shared" si="5"/>
        <v>5013</v>
      </c>
      <c r="H34" s="22">
        <f t="shared" si="5"/>
        <v>-1888</v>
      </c>
      <c r="I34" s="22">
        <f t="shared" si="5"/>
        <v>0</v>
      </c>
      <c r="J34" s="22">
        <f t="shared" si="5"/>
        <v>779</v>
      </c>
      <c r="K34" s="25">
        <f t="shared" si="5"/>
        <v>469</v>
      </c>
    </row>
    <row r="35" spans="1:11" ht="12.75" customHeight="1">
      <c r="A35" s="9"/>
      <c r="B35" s="3"/>
      <c r="C35" s="3"/>
      <c r="D35" s="3"/>
      <c r="E35" s="3"/>
      <c r="F35" s="3"/>
      <c r="G35" s="3"/>
      <c r="H35" s="3"/>
      <c r="I35" s="3"/>
      <c r="J35" s="3"/>
      <c r="K35" s="10"/>
    </row>
    <row r="36" spans="1:11" ht="12.75" customHeight="1">
      <c r="A36" s="7" t="s">
        <v>100</v>
      </c>
      <c r="B36" s="4">
        <f aca="true" t="shared" si="6" ref="B36:K36">SUM(B22+B24+B30-B26-B32)</f>
        <v>14659</v>
      </c>
      <c r="C36" s="4">
        <f t="shared" si="6"/>
        <v>102230</v>
      </c>
      <c r="D36" s="22">
        <f t="shared" si="6"/>
        <v>-4744</v>
      </c>
      <c r="E36" s="22">
        <f t="shared" si="6"/>
        <v>11881</v>
      </c>
      <c r="F36" s="22">
        <f t="shared" si="6"/>
        <v>503</v>
      </c>
      <c r="G36" s="22">
        <f t="shared" si="6"/>
        <v>1614</v>
      </c>
      <c r="H36" s="22">
        <f t="shared" si="6"/>
        <v>18563</v>
      </c>
      <c r="I36" s="22">
        <f t="shared" si="6"/>
        <v>366</v>
      </c>
      <c r="J36" s="22">
        <f t="shared" si="6"/>
        <v>640</v>
      </c>
      <c r="K36" s="25">
        <f t="shared" si="6"/>
        <v>112</v>
      </c>
    </row>
    <row r="37" spans="1:11" ht="12.75" customHeight="1" thickBot="1">
      <c r="A37" s="16"/>
      <c r="B37" s="17"/>
      <c r="C37" s="17"/>
      <c r="D37" s="23"/>
      <c r="E37" s="23"/>
      <c r="F37" s="23"/>
      <c r="G37" s="23"/>
      <c r="H37" s="23"/>
      <c r="I37" s="23"/>
      <c r="J37" s="23"/>
      <c r="K37" s="70"/>
    </row>
    <row r="38" spans="1:9" ht="14.25" customHeight="1">
      <c r="A38" s="76" t="s">
        <v>103</v>
      </c>
      <c r="B38" s="76"/>
      <c r="C38" s="76"/>
      <c r="D38" s="76"/>
      <c r="E38" s="76"/>
      <c r="F38" s="76"/>
      <c r="G38" s="76"/>
      <c r="H38" s="76"/>
      <c r="I38" s="41"/>
    </row>
    <row r="39" spans="1:6" ht="15.75" thickBot="1">
      <c r="A39" s="1"/>
      <c r="B39" s="1"/>
      <c r="C39" s="34"/>
      <c r="D39" s="26"/>
      <c r="E39" s="26"/>
      <c r="F39" s="26" t="s">
        <v>13</v>
      </c>
    </row>
    <row r="40" spans="1:6" ht="31.5">
      <c r="A40" s="6"/>
      <c r="B40" s="71" t="s">
        <v>10</v>
      </c>
      <c r="C40" s="73" t="s">
        <v>11</v>
      </c>
      <c r="D40" s="75" t="s">
        <v>12</v>
      </c>
      <c r="E40" s="73" t="s">
        <v>98</v>
      </c>
      <c r="F40" s="46" t="s">
        <v>99</v>
      </c>
    </row>
    <row r="41" spans="1:7" ht="12.75" customHeight="1">
      <c r="A41" s="7" t="s">
        <v>43</v>
      </c>
      <c r="B41" s="5">
        <f>SUM(B43+B46+B47+B49)</f>
        <v>2351375</v>
      </c>
      <c r="C41" s="5">
        <f>SUM(C43+C46+C47+C49)</f>
        <v>368495</v>
      </c>
      <c r="D41" s="52">
        <f>SUM(D43+D46+D47+D49)</f>
        <v>149635</v>
      </c>
      <c r="E41" s="5">
        <f>SUM(E43+E46+E47+E49)</f>
        <v>174688</v>
      </c>
      <c r="F41" s="47"/>
      <c r="G41" s="37"/>
    </row>
    <row r="42" spans="1:6" ht="12.75" customHeight="1">
      <c r="A42" s="9"/>
      <c r="B42" s="3"/>
      <c r="C42" s="3"/>
      <c r="D42" s="53"/>
      <c r="E42" s="3"/>
      <c r="F42" s="48"/>
    </row>
    <row r="43" spans="1:6" ht="12.75" customHeight="1">
      <c r="A43" s="7" t="s">
        <v>44</v>
      </c>
      <c r="B43" s="4">
        <f>SUM(B44:B45)</f>
        <v>2301473</v>
      </c>
      <c r="C43" s="4">
        <f>SUM(C44:C45)</f>
        <v>368495</v>
      </c>
      <c r="D43" s="54">
        <f>SUM(D44:D45)</f>
        <v>149635</v>
      </c>
      <c r="E43" s="4">
        <f>SUM(E44:E45)</f>
        <v>174688</v>
      </c>
      <c r="F43" s="49"/>
    </row>
    <row r="44" spans="1:6" ht="12.75" customHeight="1">
      <c r="A44" s="9" t="s">
        <v>45</v>
      </c>
      <c r="B44" s="3">
        <v>2135205</v>
      </c>
      <c r="C44" s="3">
        <v>368495</v>
      </c>
      <c r="D44" s="53">
        <v>149635</v>
      </c>
      <c r="E44" s="3">
        <v>174688</v>
      </c>
      <c r="F44" s="48"/>
    </row>
    <row r="45" spans="1:6" ht="12.75" customHeight="1">
      <c r="A45" s="9" t="s">
        <v>46</v>
      </c>
      <c r="B45" s="3">
        <v>166268</v>
      </c>
      <c r="C45" s="3">
        <v>0</v>
      </c>
      <c r="D45" s="53">
        <v>0</v>
      </c>
      <c r="E45" s="3">
        <v>0</v>
      </c>
      <c r="F45" s="48"/>
    </row>
    <row r="46" spans="1:6" ht="12.75" customHeight="1">
      <c r="A46" s="9" t="s">
        <v>47</v>
      </c>
      <c r="B46" s="3">
        <v>0</v>
      </c>
      <c r="C46" s="3">
        <v>0</v>
      </c>
      <c r="D46" s="53">
        <v>0</v>
      </c>
      <c r="E46" s="3">
        <v>0</v>
      </c>
      <c r="F46" s="48"/>
    </row>
    <row r="47" spans="1:6" ht="12.75" customHeight="1">
      <c r="A47" s="9" t="s">
        <v>48</v>
      </c>
      <c r="B47" s="3">
        <v>0</v>
      </c>
      <c r="C47" s="3">
        <v>0</v>
      </c>
      <c r="D47" s="53">
        <v>0</v>
      </c>
      <c r="E47" s="3">
        <v>0</v>
      </c>
      <c r="F47" s="48"/>
    </row>
    <row r="48" spans="1:6" ht="12.75" customHeight="1">
      <c r="A48" s="9" t="s">
        <v>49</v>
      </c>
      <c r="B48" s="3">
        <v>0</v>
      </c>
      <c r="C48" s="3">
        <v>0</v>
      </c>
      <c r="D48" s="53">
        <v>0</v>
      </c>
      <c r="E48" s="3">
        <v>0</v>
      </c>
      <c r="F48" s="48"/>
    </row>
    <row r="49" spans="1:6" ht="12.75" customHeight="1">
      <c r="A49" s="9" t="s">
        <v>50</v>
      </c>
      <c r="B49" s="3">
        <v>49902</v>
      </c>
      <c r="C49" s="3">
        <v>0</v>
      </c>
      <c r="D49" s="53">
        <v>0</v>
      </c>
      <c r="E49" s="3">
        <v>0</v>
      </c>
      <c r="F49" s="48"/>
    </row>
    <row r="50" spans="1:6" ht="12.75" customHeight="1">
      <c r="A50" s="9"/>
      <c r="B50" s="3"/>
      <c r="C50" s="3"/>
      <c r="D50" s="53"/>
      <c r="E50" s="3"/>
      <c r="F50" s="48"/>
    </row>
    <row r="51" spans="1:6" ht="12.75" customHeight="1">
      <c r="A51" s="7" t="s">
        <v>51</v>
      </c>
      <c r="B51" s="4">
        <f>SUM(B53:B57)</f>
        <v>1976341</v>
      </c>
      <c r="C51" s="4">
        <f>SUM(C53:C57)</f>
        <v>364345</v>
      </c>
      <c r="D51" s="54">
        <f>SUM(D53:D57)</f>
        <v>146098</v>
      </c>
      <c r="E51" s="4">
        <f>SUM(E53:E57)</f>
        <v>151132</v>
      </c>
      <c r="F51" s="25"/>
    </row>
    <row r="52" spans="1:6" ht="12.75" customHeight="1">
      <c r="A52" s="9"/>
      <c r="B52" s="3"/>
      <c r="C52" s="3"/>
      <c r="D52" s="53"/>
      <c r="E52" s="3"/>
      <c r="F52" s="10"/>
    </row>
    <row r="53" spans="1:6" ht="12.75" customHeight="1">
      <c r="A53" s="9" t="s">
        <v>52</v>
      </c>
      <c r="B53" s="3">
        <v>1553502</v>
      </c>
      <c r="C53" s="3">
        <v>282472</v>
      </c>
      <c r="D53" s="53">
        <v>92349</v>
      </c>
      <c r="E53" s="3">
        <v>118674</v>
      </c>
      <c r="F53" s="29"/>
    </row>
    <row r="54" spans="1:6" ht="12.75" customHeight="1">
      <c r="A54" s="9" t="s">
        <v>53</v>
      </c>
      <c r="B54" s="3">
        <v>46463</v>
      </c>
      <c r="C54" s="3">
        <v>0</v>
      </c>
      <c r="D54" s="53">
        <v>2563</v>
      </c>
      <c r="E54" s="3">
        <v>1323</v>
      </c>
      <c r="F54" s="29"/>
    </row>
    <row r="55" spans="1:6" ht="12.75" customHeight="1">
      <c r="A55" s="9" t="s">
        <v>54</v>
      </c>
      <c r="B55" s="3">
        <f>198513+11946</f>
        <v>210459</v>
      </c>
      <c r="C55" s="3">
        <v>44980</v>
      </c>
      <c r="D55" s="53">
        <v>30367</v>
      </c>
      <c r="E55" s="3">
        <v>21273</v>
      </c>
      <c r="F55" s="29"/>
    </row>
    <row r="56" spans="1:6" ht="12.75" customHeight="1">
      <c r="A56" s="9" t="s">
        <v>55</v>
      </c>
      <c r="B56" s="3">
        <v>11435</v>
      </c>
      <c r="C56" s="3">
        <v>2130</v>
      </c>
      <c r="D56" s="53">
        <v>722</v>
      </c>
      <c r="E56" s="3">
        <v>541</v>
      </c>
      <c r="F56" s="10"/>
    </row>
    <row r="57" spans="1:6" ht="12.75" customHeight="1">
      <c r="A57" s="9" t="s">
        <v>56</v>
      </c>
      <c r="B57" s="3">
        <f>85356+69126</f>
        <v>154482</v>
      </c>
      <c r="C57" s="3">
        <f>13621+21142</f>
        <v>34763</v>
      </c>
      <c r="D57" s="53">
        <f>9100+9962+1035</f>
        <v>20097</v>
      </c>
      <c r="E57" s="3">
        <f>5716+3605</f>
        <v>9321</v>
      </c>
      <c r="F57" s="29"/>
    </row>
    <row r="58" spans="1:6" ht="12.75" customHeight="1">
      <c r="A58" s="9"/>
      <c r="B58" s="3"/>
      <c r="C58" s="3"/>
      <c r="D58" s="53"/>
      <c r="E58" s="3"/>
      <c r="F58" s="10"/>
    </row>
    <row r="59" spans="1:6" ht="12.75" customHeight="1">
      <c r="A59" s="7" t="s">
        <v>57</v>
      </c>
      <c r="B59" s="4">
        <f>SUM(B41-B51)</f>
        <v>375034</v>
      </c>
      <c r="C59" s="22">
        <f>SUM(C41-C51)</f>
        <v>4150</v>
      </c>
      <c r="D59" s="54">
        <f>SUM(D41-D51)</f>
        <v>3537</v>
      </c>
      <c r="E59" s="22">
        <f>SUM(E41-E51)</f>
        <v>23556</v>
      </c>
      <c r="F59" s="25"/>
    </row>
    <row r="60" spans="1:6" ht="12.75" customHeight="1">
      <c r="A60" s="14"/>
      <c r="B60" s="3"/>
      <c r="C60" s="3"/>
      <c r="D60" s="53"/>
      <c r="E60" s="3"/>
      <c r="F60" s="10"/>
    </row>
    <row r="61" spans="1:6" ht="12.75" customHeight="1">
      <c r="A61" s="19" t="s">
        <v>58</v>
      </c>
      <c r="B61" s="4">
        <v>90910</v>
      </c>
      <c r="C61" s="4">
        <v>23</v>
      </c>
      <c r="D61" s="54">
        <v>130</v>
      </c>
      <c r="E61" s="4">
        <v>280</v>
      </c>
      <c r="F61" s="11"/>
    </row>
    <row r="62" spans="1:6" ht="12.75" customHeight="1">
      <c r="A62" s="13"/>
      <c r="B62" s="3"/>
      <c r="C62" s="3"/>
      <c r="D62" s="53"/>
      <c r="E62" s="3"/>
      <c r="F62" s="10"/>
    </row>
    <row r="63" spans="1:6" ht="12.75" customHeight="1">
      <c r="A63" s="7" t="s">
        <v>59</v>
      </c>
      <c r="B63" s="4">
        <v>30853</v>
      </c>
      <c r="C63" s="4">
        <v>2</v>
      </c>
      <c r="D63" s="54">
        <v>3874</v>
      </c>
      <c r="E63" s="4">
        <v>4169</v>
      </c>
      <c r="F63" s="11"/>
    </row>
    <row r="64" spans="1:7" ht="12.75" customHeight="1">
      <c r="A64" s="7"/>
      <c r="B64" s="3"/>
      <c r="C64" s="3"/>
      <c r="D64" s="53"/>
      <c r="E64" s="3"/>
      <c r="F64" s="10"/>
      <c r="G64" s="37"/>
    </row>
    <row r="65" spans="1:6" ht="12.75" customHeight="1">
      <c r="A65" s="7" t="s">
        <v>62</v>
      </c>
      <c r="B65" s="22">
        <f>SUM(B61-B63)</f>
        <v>60057</v>
      </c>
      <c r="C65" s="22">
        <f>SUM(C61-C63)</f>
        <v>21</v>
      </c>
      <c r="D65" s="30">
        <f>SUM(D61-D63)</f>
        <v>-3744</v>
      </c>
      <c r="E65" s="22">
        <f>SUM(E61-E63)</f>
        <v>-3889</v>
      </c>
      <c r="F65" s="25"/>
    </row>
    <row r="66" spans="1:6" ht="12.75" customHeight="1">
      <c r="A66" s="9"/>
      <c r="B66" s="3"/>
      <c r="C66" s="3"/>
      <c r="D66" s="53"/>
      <c r="E66" s="3"/>
      <c r="F66" s="10"/>
    </row>
    <row r="67" spans="1:6" ht="12.75" customHeight="1">
      <c r="A67" s="7" t="s">
        <v>60</v>
      </c>
      <c r="B67" s="4">
        <v>13718</v>
      </c>
      <c r="C67" s="4">
        <v>1857</v>
      </c>
      <c r="D67" s="54">
        <v>4</v>
      </c>
      <c r="E67" s="4">
        <v>0</v>
      </c>
      <c r="F67" s="11"/>
    </row>
    <row r="68" spans="1:6" ht="12.75" customHeight="1">
      <c r="A68" s="7"/>
      <c r="B68" s="3"/>
      <c r="C68" s="3"/>
      <c r="D68" s="53"/>
      <c r="E68" s="3"/>
      <c r="F68" s="10"/>
    </row>
    <row r="69" spans="1:6" ht="12.75" customHeight="1">
      <c r="A69" s="7" t="s">
        <v>61</v>
      </c>
      <c r="B69" s="24">
        <v>29430</v>
      </c>
      <c r="C69" s="24">
        <v>235</v>
      </c>
      <c r="D69" s="57">
        <v>9701</v>
      </c>
      <c r="E69" s="24">
        <v>0</v>
      </c>
      <c r="F69" s="66"/>
    </row>
    <row r="70" spans="1:6" ht="12.75">
      <c r="A70" s="7"/>
      <c r="B70" s="39"/>
      <c r="C70" s="39"/>
      <c r="D70" s="58"/>
      <c r="E70" s="39"/>
      <c r="F70" s="67"/>
    </row>
    <row r="71" spans="1:6" ht="12.75">
      <c r="A71" s="7" t="s">
        <v>63</v>
      </c>
      <c r="B71" s="22">
        <f>SUM(B67-B69)</f>
        <v>-15712</v>
      </c>
      <c r="C71" s="22">
        <f>SUM(C67-C69)</f>
        <v>1622</v>
      </c>
      <c r="D71" s="30">
        <f>SUM(D67-D69)</f>
        <v>-9697</v>
      </c>
      <c r="E71" s="22">
        <f>SUM(E67-E69)</f>
        <v>0</v>
      </c>
      <c r="F71" s="25"/>
    </row>
    <row r="72" spans="1:6" ht="12.75">
      <c r="A72" s="9"/>
      <c r="B72" s="39"/>
      <c r="C72" s="39"/>
      <c r="D72" s="58"/>
      <c r="E72" s="39"/>
      <c r="F72" s="67"/>
    </row>
    <row r="73" spans="1:6" ht="12.75">
      <c r="A73" s="7" t="s">
        <v>100</v>
      </c>
      <c r="B73" s="22">
        <f>B59+B61+B67-B63-B69</f>
        <v>419379</v>
      </c>
      <c r="C73" s="22">
        <f>C59+C61+C67-C63-C69</f>
        <v>5793</v>
      </c>
      <c r="D73" s="30">
        <f>D59+D61+D67-D63-D69</f>
        <v>-9904</v>
      </c>
      <c r="E73" s="22">
        <f>E59+E61+E67-E63-E69</f>
        <v>19667</v>
      </c>
      <c r="F73" s="25"/>
    </row>
    <row r="74" spans="1:6" ht="13.5" thickBot="1">
      <c r="A74" s="16"/>
      <c r="B74" s="23"/>
      <c r="C74" s="23"/>
      <c r="D74" s="59"/>
      <c r="E74" s="23"/>
      <c r="F74" s="70"/>
    </row>
    <row r="75" ht="12.75">
      <c r="B75" s="37"/>
    </row>
  </sheetData>
  <sheetProtection/>
  <mergeCells count="2">
    <mergeCell ref="A1:H1"/>
    <mergeCell ref="A38:H38"/>
  </mergeCells>
  <printOptions/>
  <pageMargins left="0.75" right="0.75" top="0.47" bottom="1" header="0.27" footer="0.5"/>
  <pageSetup horizontalDpi="600" verticalDpi="600" orientation="landscape" paperSize="9" scale="99" r:id="rId1"/>
  <rowBreaks count="1" manualBreakCount="1">
    <brk id="3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B1">
      <selection activeCell="B4" sqref="B4:K4"/>
    </sheetView>
  </sheetViews>
  <sheetFormatPr defaultColWidth="9.140625" defaultRowHeight="12.75"/>
  <cols>
    <col min="1" max="1" width="32.8515625" style="33" customWidth="1"/>
    <col min="2" max="2" width="10.7109375" style="33" customWidth="1"/>
    <col min="3" max="3" width="9.8515625" style="33" customWidth="1"/>
    <col min="4" max="4" width="9.57421875" style="33" customWidth="1"/>
    <col min="5" max="5" width="9.140625" style="33" customWidth="1"/>
    <col min="6" max="6" width="9.421875" style="33" customWidth="1"/>
    <col min="7" max="8" width="9.28125" style="33" customWidth="1"/>
    <col min="9" max="9" width="9.140625" style="33" customWidth="1"/>
    <col min="10" max="10" width="12.28125" style="33" customWidth="1"/>
    <col min="11" max="11" width="10.7109375" style="33" customWidth="1"/>
    <col min="12" max="16384" width="9.140625" style="33" customWidth="1"/>
  </cols>
  <sheetData>
    <row r="1" spans="1:9" ht="14.25" customHeight="1">
      <c r="A1" s="76" t="s">
        <v>105</v>
      </c>
      <c r="B1" s="76"/>
      <c r="C1" s="76"/>
      <c r="D1" s="76"/>
      <c r="E1" s="76"/>
      <c r="F1" s="76"/>
      <c r="G1" s="76"/>
      <c r="H1" s="76"/>
      <c r="I1" s="41"/>
    </row>
    <row r="2" spans="1:9" ht="14.25" customHeight="1">
      <c r="A2" s="77"/>
      <c r="B2" s="77"/>
      <c r="C2" s="77"/>
      <c r="D2" s="77"/>
      <c r="E2" s="77"/>
      <c r="F2" s="77"/>
      <c r="G2" s="77"/>
      <c r="H2" s="77"/>
      <c r="I2" s="42"/>
    </row>
    <row r="3" spans="1:11" ht="16.5" customHeight="1" thickBot="1">
      <c r="A3" s="1"/>
      <c r="B3" s="1"/>
      <c r="C3" s="34"/>
      <c r="D3" s="34"/>
      <c r="E3" s="2"/>
      <c r="F3" s="35"/>
      <c r="G3" s="35"/>
      <c r="H3" s="35"/>
      <c r="I3" s="35"/>
      <c r="K3" s="36" t="s">
        <v>0</v>
      </c>
    </row>
    <row r="4" spans="1:11" ht="16.5" customHeight="1">
      <c r="A4" s="6"/>
      <c r="B4" s="72" t="s">
        <v>1</v>
      </c>
      <c r="C4" s="73" t="s">
        <v>2</v>
      </c>
      <c r="D4" s="73" t="s">
        <v>3</v>
      </c>
      <c r="E4" s="73" t="s">
        <v>4</v>
      </c>
      <c r="F4" s="73" t="s">
        <v>5</v>
      </c>
      <c r="G4" s="73" t="s">
        <v>6</v>
      </c>
      <c r="H4" s="73" t="s">
        <v>7</v>
      </c>
      <c r="I4" s="73" t="s">
        <v>93</v>
      </c>
      <c r="J4" s="73" t="s">
        <v>8</v>
      </c>
      <c r="K4" s="74" t="s">
        <v>9</v>
      </c>
    </row>
    <row r="5" spans="1:11" ht="12.75" customHeight="1">
      <c r="A5" s="7" t="s">
        <v>20</v>
      </c>
      <c r="B5" s="5">
        <f>SUM(B7+B12+B20)</f>
        <v>3270408</v>
      </c>
      <c r="C5" s="5">
        <f>SUM(C7+C12+C20)</f>
        <v>2613979</v>
      </c>
      <c r="D5" s="5">
        <f>SUM(D7+D12+D20)</f>
        <v>223248</v>
      </c>
      <c r="E5" s="5">
        <f>SUM(E7+E12+E20)</f>
        <v>197939</v>
      </c>
      <c r="F5" s="5">
        <f>SUM(F7+F12+F20)</f>
        <v>314165</v>
      </c>
      <c r="G5" s="5">
        <f>SUM(G7+G12+G19)</f>
        <v>522137</v>
      </c>
      <c r="H5" s="5">
        <f>SUM(H7+H12+H19)</f>
        <v>273646</v>
      </c>
      <c r="I5" s="5">
        <f>SUM(I7+I12)</f>
        <v>22620</v>
      </c>
      <c r="J5" s="5">
        <f>SUM(J7+J12)</f>
        <v>454006</v>
      </c>
      <c r="K5" s="8">
        <f>SUM(K7+K12)</f>
        <v>421937</v>
      </c>
    </row>
    <row r="6" spans="1:11" ht="12.7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10"/>
    </row>
    <row r="7" spans="1:11" ht="12.75" customHeight="1">
      <c r="A7" s="7" t="s">
        <v>14</v>
      </c>
      <c r="B7" s="4">
        <f>SUM(B8:B10)</f>
        <v>2748456</v>
      </c>
      <c r="C7" s="4">
        <f aca="true" t="shared" si="0" ref="C7:K7">SUM(C8:C10)</f>
        <v>113662</v>
      </c>
      <c r="D7" s="4">
        <f>SUM(D8:D10)</f>
        <v>64675</v>
      </c>
      <c r="E7" s="4">
        <f t="shared" si="0"/>
        <v>36708</v>
      </c>
      <c r="F7" s="4">
        <f t="shared" si="0"/>
        <v>67441</v>
      </c>
      <c r="G7" s="4">
        <f t="shared" si="0"/>
        <v>16914</v>
      </c>
      <c r="H7" s="4">
        <f t="shared" si="0"/>
        <v>4387</v>
      </c>
      <c r="I7" s="4">
        <f t="shared" si="0"/>
        <v>1595</v>
      </c>
      <c r="J7" s="4">
        <f t="shared" si="0"/>
        <v>116379</v>
      </c>
      <c r="K7" s="11">
        <f t="shared" si="0"/>
        <v>290411</v>
      </c>
    </row>
    <row r="8" spans="1:11" ht="12.75" customHeight="1">
      <c r="A8" s="9" t="s">
        <v>18</v>
      </c>
      <c r="B8" s="3">
        <f>5751+757082+561702</f>
        <v>1324535</v>
      </c>
      <c r="C8" s="3">
        <f>484+113178</f>
        <v>113662</v>
      </c>
      <c r="D8" s="3">
        <f>18+64657</f>
        <v>64675</v>
      </c>
      <c r="E8" s="3">
        <f>416+36292</f>
        <v>36708</v>
      </c>
      <c r="F8" s="3">
        <f>23+67418</f>
        <v>67441</v>
      </c>
      <c r="G8" s="3">
        <f>5776+11138</f>
        <v>16914</v>
      </c>
      <c r="H8" s="3">
        <v>4387</v>
      </c>
      <c r="I8" s="3">
        <v>1595</v>
      </c>
      <c r="J8" s="3">
        <v>116157</v>
      </c>
      <c r="K8" s="10">
        <f>193957+76+95864</f>
        <v>289897</v>
      </c>
    </row>
    <row r="9" spans="1:11" ht="12.75" customHeight="1">
      <c r="A9" s="9" t="s">
        <v>19</v>
      </c>
      <c r="B9" s="3">
        <v>641843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10">
        <v>0</v>
      </c>
    </row>
    <row r="10" spans="1:11" ht="12.75" customHeight="1">
      <c r="A10" s="9" t="s">
        <v>36</v>
      </c>
      <c r="B10" s="43">
        <f>781392+686</f>
        <v>782078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222</v>
      </c>
      <c r="K10" s="10">
        <v>514</v>
      </c>
    </row>
    <row r="11" spans="1:11" ht="12.75" customHeight="1">
      <c r="A11" s="9"/>
      <c r="B11" s="3"/>
      <c r="C11" s="3"/>
      <c r="D11" s="3"/>
      <c r="E11" s="3"/>
      <c r="F11" s="3"/>
      <c r="G11" s="3"/>
      <c r="H11" s="3"/>
      <c r="I11" s="3"/>
      <c r="J11" s="3"/>
      <c r="K11" s="10"/>
    </row>
    <row r="12" spans="1:11" ht="12.75" customHeight="1">
      <c r="A12" s="7" t="s">
        <v>15</v>
      </c>
      <c r="B12" s="4">
        <f aca="true" t="shared" si="1" ref="B12:K12">SUM(B13:B18)</f>
        <v>521952</v>
      </c>
      <c r="C12" s="4">
        <f t="shared" si="1"/>
        <v>2500317</v>
      </c>
      <c r="D12" s="4">
        <f>SUM(D13:D18)</f>
        <v>153853</v>
      </c>
      <c r="E12" s="4">
        <f t="shared" si="1"/>
        <v>161231</v>
      </c>
      <c r="F12" s="4">
        <f t="shared" si="1"/>
        <v>246724</v>
      </c>
      <c r="G12" s="4">
        <f t="shared" si="1"/>
        <v>504818</v>
      </c>
      <c r="H12" s="4">
        <f t="shared" si="1"/>
        <v>269247</v>
      </c>
      <c r="I12" s="4">
        <f t="shared" si="1"/>
        <v>21025</v>
      </c>
      <c r="J12" s="4">
        <f t="shared" si="1"/>
        <v>337627</v>
      </c>
      <c r="K12" s="11">
        <f t="shared" si="1"/>
        <v>131526</v>
      </c>
    </row>
    <row r="13" spans="1:11" ht="12.75" customHeight="1">
      <c r="A13" s="9" t="s">
        <v>40</v>
      </c>
      <c r="B13" s="3">
        <v>18879</v>
      </c>
      <c r="C13" s="3">
        <v>724043</v>
      </c>
      <c r="D13" s="3">
        <v>100570</v>
      </c>
      <c r="E13" s="3">
        <v>45819</v>
      </c>
      <c r="F13" s="3">
        <v>97213</v>
      </c>
      <c r="G13" s="3">
        <v>245732</v>
      </c>
      <c r="H13" s="3">
        <v>104439</v>
      </c>
      <c r="I13" s="3">
        <v>5690</v>
      </c>
      <c r="J13" s="3">
        <v>60547</v>
      </c>
      <c r="K13" s="10">
        <v>76720</v>
      </c>
    </row>
    <row r="14" spans="1:11" ht="12.75" customHeight="1">
      <c r="A14" s="9" t="s">
        <v>37</v>
      </c>
      <c r="B14" s="3">
        <v>442384</v>
      </c>
      <c r="C14" s="3">
        <v>1074830</v>
      </c>
      <c r="D14" s="3">
        <v>42599</v>
      </c>
      <c r="E14" s="3">
        <v>110017</v>
      </c>
      <c r="F14" s="3">
        <v>106282</v>
      </c>
      <c r="G14" s="3">
        <v>11835</v>
      </c>
      <c r="H14" s="3">
        <v>149700</v>
      </c>
      <c r="I14" s="3">
        <v>14343</v>
      </c>
      <c r="J14" s="3">
        <v>215764</v>
      </c>
      <c r="K14" s="10">
        <v>28654</v>
      </c>
    </row>
    <row r="15" spans="1:11" ht="12.75" customHeight="1">
      <c r="A15" s="9" t="s">
        <v>39</v>
      </c>
      <c r="B15" s="3">
        <v>34800</v>
      </c>
      <c r="C15" s="3">
        <v>0</v>
      </c>
      <c r="D15" s="3">
        <v>0</v>
      </c>
      <c r="E15" s="3">
        <v>0</v>
      </c>
      <c r="F15" s="3">
        <v>0</v>
      </c>
      <c r="G15" s="3">
        <v>212580</v>
      </c>
      <c r="H15" s="3">
        <v>0</v>
      </c>
      <c r="I15" s="3">
        <v>0</v>
      </c>
      <c r="J15" s="3">
        <v>55000</v>
      </c>
      <c r="K15" s="10">
        <v>744</v>
      </c>
    </row>
    <row r="16" spans="1:11" ht="12.75" customHeight="1">
      <c r="A16" s="9" t="s">
        <v>38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0">
        <v>0</v>
      </c>
    </row>
    <row r="17" spans="1:11" ht="12.75" customHeight="1">
      <c r="A17" s="9" t="s">
        <v>41</v>
      </c>
      <c r="B17" s="3">
        <f>10158+7814</f>
        <v>17972</v>
      </c>
      <c r="C17" s="3">
        <f>24795+24265</f>
        <v>49060</v>
      </c>
      <c r="D17" s="3">
        <f>1729+1869</f>
        <v>3598</v>
      </c>
      <c r="E17" s="3">
        <f>1335+3270</f>
        <v>4605</v>
      </c>
      <c r="F17" s="3">
        <f>1+3331</f>
        <v>3332</v>
      </c>
      <c r="G17" s="3">
        <f>2897+988</f>
        <v>3885</v>
      </c>
      <c r="H17" s="3">
        <f>717+4364</f>
        <v>5081</v>
      </c>
      <c r="I17" s="3">
        <f>128+9</f>
        <v>137</v>
      </c>
      <c r="J17" s="3">
        <v>376</v>
      </c>
      <c r="K17" s="10">
        <f>9419+346</f>
        <v>9765</v>
      </c>
    </row>
    <row r="18" spans="1:11" ht="12.75" customHeight="1">
      <c r="A18" s="12" t="s">
        <v>42</v>
      </c>
      <c r="B18" s="3">
        <v>7917</v>
      </c>
      <c r="C18" s="3">
        <v>652384</v>
      </c>
      <c r="D18" s="3">
        <v>7086</v>
      </c>
      <c r="E18" s="3">
        <v>790</v>
      </c>
      <c r="F18" s="3">
        <v>39897</v>
      </c>
      <c r="G18" s="3">
        <v>30786</v>
      </c>
      <c r="H18" s="3">
        <v>10027</v>
      </c>
      <c r="I18" s="3">
        <v>855</v>
      </c>
      <c r="J18" s="3">
        <v>5940</v>
      </c>
      <c r="K18" s="10">
        <v>15643</v>
      </c>
    </row>
    <row r="19" spans="1:11" ht="12.75" customHeight="1">
      <c r="A19" s="64" t="s">
        <v>101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405</v>
      </c>
      <c r="H19" s="4">
        <v>12</v>
      </c>
      <c r="I19" s="4">
        <v>0</v>
      </c>
      <c r="J19" s="4">
        <v>0</v>
      </c>
      <c r="K19" s="11">
        <v>0</v>
      </c>
    </row>
    <row r="20" spans="1:11" ht="12.75" customHeight="1">
      <c r="A20" s="7" t="s">
        <v>34</v>
      </c>
      <c r="B20" s="4">
        <v>0</v>
      </c>
      <c r="C20" s="4">
        <v>0</v>
      </c>
      <c r="D20" s="4">
        <v>4720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1">
        <v>0</v>
      </c>
    </row>
    <row r="21" spans="1:11" ht="12.7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10"/>
    </row>
    <row r="22" spans="1:11" ht="12.75" customHeight="1">
      <c r="A22" s="7" t="s">
        <v>21</v>
      </c>
      <c r="B22" s="4">
        <f>SUM(B24+B31+B36+B41)</f>
        <v>3270408</v>
      </c>
      <c r="C22" s="4">
        <f aca="true" t="shared" si="2" ref="C22:K22">SUM(C24+C31+C36+C41)</f>
        <v>2613979</v>
      </c>
      <c r="D22" s="4">
        <f>SUM(D24+D31+D36+D41)</f>
        <v>223248</v>
      </c>
      <c r="E22" s="4">
        <f t="shared" si="2"/>
        <v>197939</v>
      </c>
      <c r="F22" s="4">
        <f t="shared" si="2"/>
        <v>314165</v>
      </c>
      <c r="G22" s="4">
        <f t="shared" si="2"/>
        <v>522137</v>
      </c>
      <c r="H22" s="4">
        <f>SUM(H24+H31+H36+H41)</f>
        <v>273646</v>
      </c>
      <c r="I22" s="4">
        <f>SUM(I24+I31+I36+I41)</f>
        <v>22620</v>
      </c>
      <c r="J22" s="4">
        <f t="shared" si="2"/>
        <v>454006</v>
      </c>
      <c r="K22" s="11">
        <f t="shared" si="2"/>
        <v>421937</v>
      </c>
    </row>
    <row r="23" spans="1:11" ht="12.75" customHeight="1">
      <c r="A23" s="9"/>
      <c r="B23" s="3"/>
      <c r="C23" s="3"/>
      <c r="D23" s="3"/>
      <c r="E23" s="3"/>
      <c r="F23" s="3"/>
      <c r="G23" s="3"/>
      <c r="H23" s="3"/>
      <c r="I23" s="3"/>
      <c r="J23" s="3"/>
      <c r="K23" s="10"/>
    </row>
    <row r="24" spans="1:11" ht="12.75" customHeight="1">
      <c r="A24" s="7" t="s">
        <v>16</v>
      </c>
      <c r="B24" s="4">
        <f aca="true" t="shared" si="3" ref="B24:K24">SUM(B25:B29)</f>
        <v>2730313</v>
      </c>
      <c r="C24" s="4">
        <f t="shared" si="3"/>
        <v>864197</v>
      </c>
      <c r="D24" s="4">
        <f t="shared" si="3"/>
        <v>0</v>
      </c>
      <c r="E24" s="4">
        <f t="shared" si="3"/>
        <v>47492</v>
      </c>
      <c r="F24" s="4">
        <f t="shared" si="3"/>
        <v>31145</v>
      </c>
      <c r="G24" s="4">
        <f t="shared" si="3"/>
        <v>50885</v>
      </c>
      <c r="H24" s="4">
        <f t="shared" si="3"/>
        <v>200512</v>
      </c>
      <c r="I24" s="4">
        <f t="shared" si="3"/>
        <v>5063</v>
      </c>
      <c r="J24" s="4">
        <f t="shared" si="3"/>
        <v>214844</v>
      </c>
      <c r="K24" s="11">
        <f t="shared" si="3"/>
        <v>201162</v>
      </c>
    </row>
    <row r="25" spans="1:11" ht="12.75" customHeight="1">
      <c r="A25" s="9" t="s">
        <v>22</v>
      </c>
      <c r="B25" s="3">
        <v>408000</v>
      </c>
      <c r="C25" s="3">
        <v>225194</v>
      </c>
      <c r="D25" s="3">
        <v>22895</v>
      </c>
      <c r="E25" s="3">
        <v>9380</v>
      </c>
      <c r="F25" s="3">
        <v>72684</v>
      </c>
      <c r="G25" s="3">
        <v>124071</v>
      </c>
      <c r="H25" s="3">
        <v>263</v>
      </c>
      <c r="I25" s="3">
        <v>289</v>
      </c>
      <c r="J25" s="3">
        <v>118694</v>
      </c>
      <c r="K25" s="10">
        <v>77182</v>
      </c>
    </row>
    <row r="26" spans="1:11" ht="12.75" customHeight="1">
      <c r="A26" s="9" t="s">
        <v>23</v>
      </c>
      <c r="B26" s="3">
        <f>33899+4256+1369</f>
        <v>39524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10">
        <v>0</v>
      </c>
    </row>
    <row r="27" spans="1:11" ht="12.75" customHeight="1">
      <c r="A27" s="9" t="s">
        <v>24</v>
      </c>
      <c r="B27" s="3">
        <v>2192578</v>
      </c>
      <c r="C27" s="3">
        <v>639003</v>
      </c>
      <c r="D27" s="3">
        <v>0</v>
      </c>
      <c r="E27" s="3">
        <v>38112</v>
      </c>
      <c r="F27" s="3">
        <v>0</v>
      </c>
      <c r="G27" s="3">
        <v>0</v>
      </c>
      <c r="H27" s="3">
        <v>199845</v>
      </c>
      <c r="I27" s="3">
        <v>4766</v>
      </c>
      <c r="J27" s="3">
        <v>96150</v>
      </c>
      <c r="K27" s="10">
        <v>136747</v>
      </c>
    </row>
    <row r="28" spans="1:11" ht="12.75" customHeight="1">
      <c r="A28" s="9" t="s">
        <v>32</v>
      </c>
      <c r="B28" s="3">
        <v>90211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404</v>
      </c>
      <c r="I28" s="3">
        <v>8</v>
      </c>
      <c r="J28" s="3">
        <v>0</v>
      </c>
      <c r="K28" s="10">
        <v>0</v>
      </c>
    </row>
    <row r="29" spans="1:11" ht="12.75" customHeight="1">
      <c r="A29" s="9" t="s">
        <v>25</v>
      </c>
      <c r="B29" s="3">
        <v>0</v>
      </c>
      <c r="C29" s="3">
        <v>0</v>
      </c>
      <c r="D29" s="20">
        <v>-22895</v>
      </c>
      <c r="E29" s="20">
        <v>0</v>
      </c>
      <c r="F29" s="20">
        <v>-41539</v>
      </c>
      <c r="G29" s="20">
        <v>-73186</v>
      </c>
      <c r="H29" s="3">
        <v>0</v>
      </c>
      <c r="I29" s="3">
        <v>0</v>
      </c>
      <c r="J29" s="29">
        <v>0</v>
      </c>
      <c r="K29" s="29">
        <v>-12767</v>
      </c>
    </row>
    <row r="30" spans="1:11" ht="12.75" customHeight="1">
      <c r="A30" s="9"/>
      <c r="B30" s="3"/>
      <c r="C30" s="3"/>
      <c r="D30" s="3"/>
      <c r="E30" s="3"/>
      <c r="F30" s="3"/>
      <c r="G30" s="3"/>
      <c r="H30" s="3"/>
      <c r="I30" s="3"/>
      <c r="J30" s="3"/>
      <c r="K30" s="10"/>
    </row>
    <row r="31" spans="1:11" ht="12.75" customHeight="1">
      <c r="A31" s="7" t="s">
        <v>17</v>
      </c>
      <c r="B31" s="4">
        <f aca="true" t="shared" si="4" ref="B31:K31">SUM(B32:B34)</f>
        <v>366282</v>
      </c>
      <c r="C31" s="4">
        <f t="shared" si="4"/>
        <v>521202</v>
      </c>
      <c r="D31" s="4">
        <f t="shared" si="4"/>
        <v>100239</v>
      </c>
      <c r="E31" s="4">
        <f t="shared" si="4"/>
        <v>3437</v>
      </c>
      <c r="F31" s="4">
        <f t="shared" si="4"/>
        <v>114488</v>
      </c>
      <c r="G31" s="4">
        <f t="shared" si="4"/>
        <v>59233</v>
      </c>
      <c r="H31" s="4">
        <f t="shared" si="4"/>
        <v>17662</v>
      </c>
      <c r="I31" s="4">
        <f t="shared" si="4"/>
        <v>0</v>
      </c>
      <c r="J31" s="4">
        <f t="shared" si="4"/>
        <v>21363</v>
      </c>
      <c r="K31" s="11">
        <f t="shared" si="4"/>
        <v>72303</v>
      </c>
    </row>
    <row r="32" spans="1:11" ht="12.75" customHeight="1">
      <c r="A32" s="14" t="s">
        <v>26</v>
      </c>
      <c r="B32" s="3">
        <v>51364</v>
      </c>
      <c r="C32" s="3">
        <v>39802</v>
      </c>
      <c r="D32" s="3">
        <v>786</v>
      </c>
      <c r="E32" s="3">
        <v>3437</v>
      </c>
      <c r="F32" s="3">
        <v>11188</v>
      </c>
      <c r="G32" s="3">
        <v>9733</v>
      </c>
      <c r="H32" s="3">
        <v>1384</v>
      </c>
      <c r="I32" s="3">
        <v>0</v>
      </c>
      <c r="J32" s="3">
        <v>16251</v>
      </c>
      <c r="K32" s="10">
        <v>10433</v>
      </c>
    </row>
    <row r="33" spans="1:11" ht="12.75" customHeight="1">
      <c r="A33" s="15" t="s">
        <v>27</v>
      </c>
      <c r="B33" s="3">
        <v>314918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5112</v>
      </c>
      <c r="K33" s="10">
        <v>0</v>
      </c>
    </row>
    <row r="34" spans="1:11" ht="12.75" customHeight="1">
      <c r="A34" s="14" t="s">
        <v>35</v>
      </c>
      <c r="B34" s="3">
        <v>0</v>
      </c>
      <c r="C34" s="3">
        <v>481400</v>
      </c>
      <c r="D34" s="3">
        <v>99453</v>
      </c>
      <c r="E34" s="3">
        <v>0</v>
      </c>
      <c r="F34" s="3">
        <v>103300</v>
      </c>
      <c r="G34" s="3">
        <v>49500</v>
      </c>
      <c r="H34" s="3">
        <v>16278</v>
      </c>
      <c r="I34" s="3">
        <v>0</v>
      </c>
      <c r="J34" s="3">
        <v>0</v>
      </c>
      <c r="K34" s="10">
        <v>61870</v>
      </c>
    </row>
    <row r="35" spans="1:11" ht="12.7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10"/>
    </row>
    <row r="36" spans="1:11" ht="12.75" customHeight="1">
      <c r="A36" s="7" t="s">
        <v>28</v>
      </c>
      <c r="B36" s="4">
        <f>SUM(B37:B39)</f>
        <v>146207</v>
      </c>
      <c r="C36" s="4">
        <f aca="true" t="shared" si="5" ref="C36:K36">SUM(C37:C39)</f>
        <v>1227543</v>
      </c>
      <c r="D36" s="4">
        <f>SUM(D37:D39)</f>
        <v>122102</v>
      </c>
      <c r="E36" s="4">
        <f t="shared" si="5"/>
        <v>146684</v>
      </c>
      <c r="F36" s="4">
        <f t="shared" si="5"/>
        <v>167294</v>
      </c>
      <c r="G36" s="4">
        <f t="shared" si="5"/>
        <v>412019</v>
      </c>
      <c r="H36" s="4">
        <f>SUM(H37:H39)</f>
        <v>55472</v>
      </c>
      <c r="I36" s="4">
        <f>SUM(I37:I39)</f>
        <v>17557</v>
      </c>
      <c r="J36" s="4">
        <f t="shared" si="5"/>
        <v>216124</v>
      </c>
      <c r="K36" s="11">
        <f t="shared" si="5"/>
        <v>143064</v>
      </c>
    </row>
    <row r="37" spans="1:11" ht="12.75" customHeight="1">
      <c r="A37" s="9" t="s">
        <v>33</v>
      </c>
      <c r="B37" s="3">
        <v>0</v>
      </c>
      <c r="C37" s="3">
        <v>695100</v>
      </c>
      <c r="D37" s="3">
        <v>10000</v>
      </c>
      <c r="E37" s="3">
        <v>29500</v>
      </c>
      <c r="F37" s="3">
        <v>0</v>
      </c>
      <c r="G37" s="3">
        <v>17500</v>
      </c>
      <c r="H37" s="3">
        <v>31397</v>
      </c>
      <c r="I37" s="3">
        <v>8800</v>
      </c>
      <c r="J37" s="3">
        <v>30000</v>
      </c>
      <c r="K37" s="10">
        <v>0</v>
      </c>
    </row>
    <row r="38" spans="1:11" ht="12.75" customHeight="1">
      <c r="A38" s="9" t="s">
        <v>29</v>
      </c>
      <c r="B38" s="3">
        <v>64460</v>
      </c>
      <c r="C38" s="3">
        <v>491587</v>
      </c>
      <c r="D38" s="3">
        <v>109025</v>
      </c>
      <c r="E38" s="3">
        <v>112638</v>
      </c>
      <c r="F38" s="3">
        <v>159848</v>
      </c>
      <c r="G38" s="3">
        <v>349270</v>
      </c>
      <c r="H38" s="3">
        <v>21767</v>
      </c>
      <c r="I38" s="3">
        <v>5939</v>
      </c>
      <c r="J38" s="3">
        <v>176781</v>
      </c>
      <c r="K38" s="10">
        <f>133074+112</f>
        <v>133186</v>
      </c>
    </row>
    <row r="39" spans="1:11" ht="12.75" customHeight="1">
      <c r="A39" s="9" t="s">
        <v>30</v>
      </c>
      <c r="B39" s="3">
        <f>72915+8832</f>
        <v>81747</v>
      </c>
      <c r="C39" s="3">
        <f>40801+55</f>
        <v>40856</v>
      </c>
      <c r="D39" s="3">
        <f>3048+29</f>
        <v>3077</v>
      </c>
      <c r="E39" s="3">
        <f>4487+59</f>
        <v>4546</v>
      </c>
      <c r="F39" s="3">
        <f>5791+1655</f>
        <v>7446</v>
      </c>
      <c r="G39" s="3">
        <f>10223+35026</f>
        <v>45249</v>
      </c>
      <c r="H39" s="3">
        <f>2245+63</f>
        <v>2308</v>
      </c>
      <c r="I39" s="3">
        <f>2578+240</f>
        <v>2818</v>
      </c>
      <c r="J39" s="3">
        <f>6799+2544</f>
        <v>9343</v>
      </c>
      <c r="K39" s="10">
        <f>7488+2390</f>
        <v>9878</v>
      </c>
    </row>
    <row r="40" spans="1:11" ht="12.75" customHeight="1">
      <c r="A40" s="9"/>
      <c r="B40" s="3"/>
      <c r="C40" s="3"/>
      <c r="D40" s="3"/>
      <c r="E40" s="3"/>
      <c r="F40" s="3"/>
      <c r="G40" s="3"/>
      <c r="H40" s="3"/>
      <c r="I40" s="3"/>
      <c r="J40" s="3"/>
      <c r="K40" s="10"/>
    </row>
    <row r="41" spans="1:11" ht="12.75" customHeight="1" thickBot="1">
      <c r="A41" s="16" t="s">
        <v>31</v>
      </c>
      <c r="B41" s="17">
        <v>27606</v>
      </c>
      <c r="C41" s="17">
        <v>1037</v>
      </c>
      <c r="D41" s="17">
        <v>907</v>
      </c>
      <c r="E41" s="17">
        <v>326</v>
      </c>
      <c r="F41" s="17">
        <v>1238</v>
      </c>
      <c r="G41" s="17">
        <v>0</v>
      </c>
      <c r="H41" s="17">
        <v>0</v>
      </c>
      <c r="I41" s="17">
        <v>0</v>
      </c>
      <c r="J41" s="17">
        <v>1675</v>
      </c>
      <c r="K41" s="18">
        <v>5408</v>
      </c>
    </row>
    <row r="42" spans="1:9" ht="16.5" customHeight="1">
      <c r="A42" s="76" t="s">
        <v>104</v>
      </c>
      <c r="B42" s="76"/>
      <c r="C42" s="76"/>
      <c r="D42" s="76"/>
      <c r="E42" s="76"/>
      <c r="F42" s="76"/>
      <c r="G42" s="76"/>
      <c r="H42" s="76"/>
      <c r="I42" s="41"/>
    </row>
    <row r="43" spans="1:6" ht="15.75" thickBot="1">
      <c r="A43" s="1"/>
      <c r="B43" s="1"/>
      <c r="C43" s="34"/>
      <c r="D43" s="2"/>
      <c r="E43" s="2"/>
      <c r="F43" s="2" t="s">
        <v>13</v>
      </c>
    </row>
    <row r="44" spans="1:6" ht="31.5">
      <c r="A44" s="6"/>
      <c r="B44" s="71" t="s">
        <v>10</v>
      </c>
      <c r="C44" s="73" t="s">
        <v>11</v>
      </c>
      <c r="D44" s="75" t="s">
        <v>12</v>
      </c>
      <c r="E44" s="73" t="s">
        <v>98</v>
      </c>
      <c r="F44" s="46" t="s">
        <v>99</v>
      </c>
    </row>
    <row r="45" spans="1:6" ht="12.75" customHeight="1">
      <c r="A45" s="7" t="s">
        <v>20</v>
      </c>
      <c r="B45" s="5">
        <f>SUM(B47+B51+B58)</f>
        <v>2550082</v>
      </c>
      <c r="C45" s="5">
        <f>SUM(C47+C51+C58)</f>
        <v>840422</v>
      </c>
      <c r="D45" s="52">
        <f>SUM(D47+D51+D58)</f>
        <v>820059</v>
      </c>
      <c r="E45" s="5">
        <f>SUM(E47+E51+E58)</f>
        <v>232281</v>
      </c>
      <c r="F45" s="47"/>
    </row>
    <row r="46" spans="1:6" ht="12.75" customHeight="1">
      <c r="A46" s="9"/>
      <c r="B46" s="3"/>
      <c r="C46" s="3"/>
      <c r="D46" s="53"/>
      <c r="E46" s="3"/>
      <c r="F46" s="48"/>
    </row>
    <row r="47" spans="1:6" ht="12.75" customHeight="1">
      <c r="A47" s="7" t="s">
        <v>14</v>
      </c>
      <c r="B47" s="4">
        <f>SUM(B48:B49)</f>
        <v>227720</v>
      </c>
      <c r="C47" s="4">
        <f>SUM(C48:C49)</f>
        <v>34603</v>
      </c>
      <c r="D47" s="54">
        <f>SUM(D48:D49)</f>
        <v>8218</v>
      </c>
      <c r="E47" s="4">
        <f>SUM(E48:E49)</f>
        <v>8341</v>
      </c>
      <c r="F47" s="49"/>
    </row>
    <row r="48" spans="1:6" ht="12.75" customHeight="1">
      <c r="A48" s="9" t="s">
        <v>18</v>
      </c>
      <c r="B48" s="3">
        <f>226161+1559</f>
        <v>227720</v>
      </c>
      <c r="C48" s="3">
        <v>34603</v>
      </c>
      <c r="D48" s="53">
        <v>8218</v>
      </c>
      <c r="E48" s="3">
        <f>7127+1214</f>
        <v>8341</v>
      </c>
      <c r="F48" s="48"/>
    </row>
    <row r="49" spans="1:6" ht="12.75" customHeight="1">
      <c r="A49" s="9" t="s">
        <v>19</v>
      </c>
      <c r="B49" s="3">
        <v>0</v>
      </c>
      <c r="C49" s="3">
        <v>0</v>
      </c>
      <c r="D49" s="53">
        <v>0</v>
      </c>
      <c r="E49" s="3">
        <v>0</v>
      </c>
      <c r="F49" s="48"/>
    </row>
    <row r="50" spans="1:6" ht="12.75" customHeight="1">
      <c r="A50" s="9"/>
      <c r="B50" s="3"/>
      <c r="C50" s="3"/>
      <c r="D50" s="53"/>
      <c r="E50" s="3"/>
      <c r="F50" s="48"/>
    </row>
    <row r="51" spans="1:6" ht="12.75" customHeight="1">
      <c r="A51" s="7" t="s">
        <v>15</v>
      </c>
      <c r="B51" s="4">
        <f>SUM(B52:B56)</f>
        <v>2322362</v>
      </c>
      <c r="C51" s="4">
        <f>SUM(C52:C56)</f>
        <v>805819</v>
      </c>
      <c r="D51" s="54">
        <f>SUM(D52:D56)</f>
        <v>811841</v>
      </c>
      <c r="E51" s="4">
        <f>SUM(E52:E56)</f>
        <v>223940</v>
      </c>
      <c r="F51" s="49"/>
    </row>
    <row r="52" spans="1:6" ht="12.75" customHeight="1">
      <c r="A52" s="9" t="s">
        <v>40</v>
      </c>
      <c r="B52" s="3">
        <f>228072+59218</f>
        <v>287290</v>
      </c>
      <c r="C52" s="3">
        <v>298343</v>
      </c>
      <c r="D52" s="53">
        <v>228951</v>
      </c>
      <c r="E52" s="3">
        <f>62377+1359</f>
        <v>63736</v>
      </c>
      <c r="F52" s="48"/>
    </row>
    <row r="53" spans="1:6" ht="12.75" customHeight="1">
      <c r="A53" s="9" t="s">
        <v>37</v>
      </c>
      <c r="B53" s="3">
        <f>56367+1483099+77035</f>
        <v>1616501</v>
      </c>
      <c r="C53" s="3">
        <v>329174</v>
      </c>
      <c r="D53" s="53">
        <v>536935</v>
      </c>
      <c r="E53" s="3">
        <v>93082</v>
      </c>
      <c r="F53" s="48"/>
    </row>
    <row r="54" spans="1:6" ht="12.75" customHeight="1">
      <c r="A54" s="9" t="s">
        <v>39</v>
      </c>
      <c r="B54" s="3">
        <v>0</v>
      </c>
      <c r="C54" s="3">
        <v>168642</v>
      </c>
      <c r="D54" s="53">
        <v>0</v>
      </c>
      <c r="E54" s="3">
        <v>0</v>
      </c>
      <c r="F54" s="48"/>
    </row>
    <row r="55" spans="1:6" ht="12.75" customHeight="1">
      <c r="A55" s="9" t="s">
        <v>41</v>
      </c>
      <c r="B55" s="3">
        <f>3802+192916</f>
        <v>196718</v>
      </c>
      <c r="C55" s="3">
        <f>1239+1456</f>
        <v>2695</v>
      </c>
      <c r="D55" s="53">
        <v>20973</v>
      </c>
      <c r="E55" s="3">
        <f>9031+559</f>
        <v>9590</v>
      </c>
      <c r="F55" s="48"/>
    </row>
    <row r="56" spans="1:6" ht="12.75" customHeight="1">
      <c r="A56" s="12" t="s">
        <v>42</v>
      </c>
      <c r="B56" s="3">
        <v>221853</v>
      </c>
      <c r="C56" s="3">
        <v>6965</v>
      </c>
      <c r="D56" s="53">
        <v>24982</v>
      </c>
      <c r="E56" s="3">
        <v>57532</v>
      </c>
      <c r="F56" s="48"/>
    </row>
    <row r="57" spans="1:6" ht="12.75" customHeight="1">
      <c r="A57" s="64" t="s">
        <v>101</v>
      </c>
      <c r="B57" s="65">
        <v>0</v>
      </c>
      <c r="C57" s="65">
        <v>0</v>
      </c>
      <c r="D57" s="68">
        <v>0</v>
      </c>
      <c r="E57" s="65">
        <v>0</v>
      </c>
      <c r="F57" s="69"/>
    </row>
    <row r="58" spans="1:6" ht="12.75" customHeight="1">
      <c r="A58" s="7" t="s">
        <v>34</v>
      </c>
      <c r="B58" s="4">
        <v>0</v>
      </c>
      <c r="C58" s="4">
        <v>0</v>
      </c>
      <c r="D58" s="54">
        <v>0</v>
      </c>
      <c r="E58" s="4">
        <v>0</v>
      </c>
      <c r="F58" s="49"/>
    </row>
    <row r="59" spans="1:6" ht="12.75" customHeight="1">
      <c r="A59" s="13"/>
      <c r="B59" s="3"/>
      <c r="C59" s="3"/>
      <c r="D59" s="53"/>
      <c r="E59" s="3"/>
      <c r="F59" s="48"/>
    </row>
    <row r="60" spans="1:6" ht="12.75" customHeight="1">
      <c r="A60" s="7" t="s">
        <v>21</v>
      </c>
      <c r="B60" s="4">
        <f>SUM(B62+B69+B73+B78)</f>
        <v>2550082</v>
      </c>
      <c r="C60" s="4">
        <f>SUM(C62+C69+C73+C78)</f>
        <v>840422</v>
      </c>
      <c r="D60" s="54">
        <f>SUM(D62+D69+D73+D78)</f>
        <v>820059</v>
      </c>
      <c r="E60" s="4">
        <f>SUM(E62+E69+E73+E78)</f>
        <v>232281</v>
      </c>
      <c r="F60" s="49"/>
    </row>
    <row r="61" spans="1:6" ht="12.75" customHeight="1">
      <c r="A61" s="9"/>
      <c r="B61" s="3"/>
      <c r="C61" s="3"/>
      <c r="D61" s="53"/>
      <c r="E61" s="3"/>
      <c r="F61" s="48"/>
    </row>
    <row r="62" spans="1:6" ht="12.75" customHeight="1">
      <c r="A62" s="7" t="s">
        <v>16</v>
      </c>
      <c r="B62" s="4">
        <f>SUM(B63:B67)</f>
        <v>1178015</v>
      </c>
      <c r="C62" s="4">
        <f>SUM(C63:C67)</f>
        <v>185341</v>
      </c>
      <c r="D62" s="54">
        <f>SUM(D63:D67)</f>
        <v>142842</v>
      </c>
      <c r="E62" s="4">
        <f>SUM(E63:E67)</f>
        <v>54611</v>
      </c>
      <c r="F62" s="49"/>
    </row>
    <row r="63" spans="1:6" ht="12.75" customHeight="1">
      <c r="A63" s="9" t="s">
        <v>22</v>
      </c>
      <c r="B63" s="3">
        <v>255</v>
      </c>
      <c r="C63" s="3">
        <v>17000</v>
      </c>
      <c r="D63" s="53">
        <v>182498</v>
      </c>
      <c r="E63" s="3">
        <v>37502</v>
      </c>
      <c r="F63" s="48"/>
    </row>
    <row r="64" spans="1:6" ht="12.75" customHeight="1">
      <c r="A64" s="9" t="s">
        <v>23</v>
      </c>
      <c r="B64" s="3">
        <v>0</v>
      </c>
      <c r="C64" s="3">
        <v>0</v>
      </c>
      <c r="D64" s="53">
        <v>0</v>
      </c>
      <c r="E64" s="3">
        <v>0</v>
      </c>
      <c r="F64" s="48"/>
    </row>
    <row r="65" spans="1:6" ht="12.75" customHeight="1">
      <c r="A65" s="9" t="s">
        <v>24</v>
      </c>
      <c r="B65" s="3">
        <v>1177760</v>
      </c>
      <c r="C65" s="3">
        <v>168341</v>
      </c>
      <c r="D65" s="55">
        <v>0</v>
      </c>
      <c r="E65" s="20">
        <v>17109</v>
      </c>
      <c r="F65" s="50"/>
    </row>
    <row r="66" spans="1:6" ht="12.75" customHeight="1">
      <c r="A66" s="9" t="s">
        <v>32</v>
      </c>
      <c r="B66" s="3">
        <v>0</v>
      </c>
      <c r="C66" s="3">
        <v>0</v>
      </c>
      <c r="D66" s="53">
        <v>0</v>
      </c>
      <c r="E66" s="3">
        <v>0</v>
      </c>
      <c r="F66" s="48"/>
    </row>
    <row r="67" spans="1:6" ht="12.75" customHeight="1">
      <c r="A67" s="9" t="s">
        <v>25</v>
      </c>
      <c r="B67" s="20">
        <v>0</v>
      </c>
      <c r="C67" s="3">
        <v>0</v>
      </c>
      <c r="D67" s="55">
        <v>-39656</v>
      </c>
      <c r="E67" s="20">
        <v>0</v>
      </c>
      <c r="F67" s="50"/>
    </row>
    <row r="68" spans="1:6" ht="12.75" customHeight="1">
      <c r="A68" s="9"/>
      <c r="B68" s="3"/>
      <c r="C68" s="3"/>
      <c r="D68" s="53"/>
      <c r="E68" s="3"/>
      <c r="F68" s="48"/>
    </row>
    <row r="69" spans="1:7" ht="12.75" customHeight="1">
      <c r="A69" s="7" t="s">
        <v>17</v>
      </c>
      <c r="B69" s="4">
        <f>SUM(B70:B71)</f>
        <v>0</v>
      </c>
      <c r="C69" s="4">
        <f>SUM(C70:C71)</f>
        <v>0</v>
      </c>
      <c r="D69" s="54">
        <f>SUM(D70:D71)</f>
        <v>0</v>
      </c>
      <c r="E69" s="4">
        <f>SUM(E70:E71)</f>
        <v>0</v>
      </c>
      <c r="F69" s="49"/>
      <c r="G69" s="37"/>
    </row>
    <row r="70" spans="1:6" ht="12.75" customHeight="1">
      <c r="A70" s="14" t="s">
        <v>26</v>
      </c>
      <c r="B70" s="3">
        <v>0</v>
      </c>
      <c r="C70" s="3">
        <v>0</v>
      </c>
      <c r="D70" s="53">
        <v>0</v>
      </c>
      <c r="E70" s="3">
        <v>0</v>
      </c>
      <c r="F70" s="48"/>
    </row>
    <row r="71" spans="1:6" ht="12.75" customHeight="1">
      <c r="A71" s="15" t="s">
        <v>27</v>
      </c>
      <c r="B71" s="3">
        <v>0</v>
      </c>
      <c r="C71" s="3">
        <v>0</v>
      </c>
      <c r="D71" s="53">
        <v>0</v>
      </c>
      <c r="E71" s="3">
        <v>0</v>
      </c>
      <c r="F71" s="48"/>
    </row>
    <row r="72" spans="1:6" ht="12.75" customHeight="1">
      <c r="A72" s="13"/>
      <c r="B72" s="3"/>
      <c r="C72" s="3"/>
      <c r="D72" s="53"/>
      <c r="E72" s="3"/>
      <c r="F72" s="48"/>
    </row>
    <row r="73" spans="1:6" ht="12.75" customHeight="1">
      <c r="A73" s="7" t="s">
        <v>28</v>
      </c>
      <c r="B73" s="4">
        <f>SUM(B74:B76)</f>
        <v>1372067</v>
      </c>
      <c r="C73" s="4">
        <f>SUM(C74:C76)</f>
        <v>655081</v>
      </c>
      <c r="D73" s="54">
        <f>SUM(D74:D76)</f>
        <v>677217</v>
      </c>
      <c r="E73" s="4">
        <f>SUM(E74:E76)</f>
        <v>177670</v>
      </c>
      <c r="F73" s="49"/>
    </row>
    <row r="74" spans="1:6" ht="12.75" customHeight="1">
      <c r="A74" s="9" t="s">
        <v>97</v>
      </c>
      <c r="B74" s="3">
        <v>0</v>
      </c>
      <c r="C74" s="3">
        <v>0</v>
      </c>
      <c r="D74" s="53">
        <v>0</v>
      </c>
      <c r="E74" s="3">
        <v>0</v>
      </c>
      <c r="F74" s="48"/>
    </row>
    <row r="75" spans="1:6" ht="12.75" customHeight="1">
      <c r="A75" s="9" t="s">
        <v>29</v>
      </c>
      <c r="B75" s="3">
        <f>1097152+9824</f>
        <v>1106976</v>
      </c>
      <c r="C75" s="3">
        <v>637725</v>
      </c>
      <c r="D75" s="53">
        <v>666872</v>
      </c>
      <c r="E75" s="3">
        <f>171358+34</f>
        <v>171392</v>
      </c>
      <c r="F75" s="48"/>
    </row>
    <row r="76" spans="1:6" ht="12.75" customHeight="1">
      <c r="A76" s="9" t="s">
        <v>30</v>
      </c>
      <c r="B76" s="3">
        <f>10197+60627+194267</f>
        <v>265091</v>
      </c>
      <c r="C76" s="3">
        <f>15234+2122</f>
        <v>17356</v>
      </c>
      <c r="D76" s="53">
        <v>10345</v>
      </c>
      <c r="E76" s="3">
        <f>51+6227</f>
        <v>6278</v>
      </c>
      <c r="F76" s="48"/>
    </row>
    <row r="77" spans="1:6" ht="12.75" customHeight="1">
      <c r="A77" s="9"/>
      <c r="B77" s="3"/>
      <c r="C77" s="3"/>
      <c r="D77" s="53"/>
      <c r="E77" s="3"/>
      <c r="F77" s="48"/>
    </row>
    <row r="78" spans="1:6" ht="12.75" customHeight="1" thickBot="1">
      <c r="A78" s="16" t="s">
        <v>31</v>
      </c>
      <c r="B78" s="17">
        <v>0</v>
      </c>
      <c r="C78" s="17">
        <v>0</v>
      </c>
      <c r="D78" s="56">
        <v>0</v>
      </c>
      <c r="E78" s="17">
        <v>0</v>
      </c>
      <c r="F78" s="51"/>
    </row>
  </sheetData>
  <sheetProtection/>
  <mergeCells count="3">
    <mergeCell ref="A1:H1"/>
    <mergeCell ref="A2:H2"/>
    <mergeCell ref="A42:H42"/>
  </mergeCells>
  <printOptions/>
  <pageMargins left="0.67" right="0.32" top="0.4" bottom="0.39" header="0.18" footer="0.22"/>
  <pageSetup horizontalDpi="600" verticalDpi="600" orientation="landscape" paperSize="9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B43">
      <selection activeCell="H79" sqref="H79"/>
    </sheetView>
  </sheetViews>
  <sheetFormatPr defaultColWidth="9.140625" defaultRowHeight="12.75"/>
  <cols>
    <col min="1" max="1" width="37.7109375" style="33" customWidth="1"/>
    <col min="2" max="2" width="11.421875" style="33" customWidth="1"/>
    <col min="3" max="3" width="9.7109375" style="33" customWidth="1"/>
    <col min="4" max="4" width="9.57421875" style="33" customWidth="1"/>
    <col min="5" max="5" width="9.28125" style="33" customWidth="1"/>
    <col min="6" max="6" width="9.57421875" style="33" customWidth="1"/>
    <col min="7" max="7" width="9.421875" style="33" customWidth="1"/>
    <col min="8" max="8" width="9.57421875" style="33" customWidth="1"/>
    <col min="9" max="9" width="8.421875" style="33" customWidth="1"/>
    <col min="10" max="10" width="12.28125" style="33" customWidth="1"/>
    <col min="11" max="11" width="10.7109375" style="33" customWidth="1"/>
    <col min="12" max="16384" width="9.140625" style="33" customWidth="1"/>
  </cols>
  <sheetData>
    <row r="1" spans="1:11" ht="14.25" customHeight="1">
      <c r="A1" s="76" t="s">
        <v>107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6.5" customHeight="1" thickBot="1">
      <c r="A2" s="1"/>
      <c r="B2" s="1"/>
      <c r="C2" s="34"/>
      <c r="D2" s="2"/>
      <c r="E2" s="35"/>
      <c r="F2" s="35"/>
      <c r="G2" s="35"/>
      <c r="H2" s="35"/>
      <c r="I2" s="35"/>
      <c r="K2" s="38" t="s">
        <v>0</v>
      </c>
    </row>
    <row r="3" spans="1:11" ht="16.5" customHeight="1">
      <c r="A3" s="6"/>
      <c r="B3" s="72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93</v>
      </c>
      <c r="J3" s="73" t="s">
        <v>8</v>
      </c>
      <c r="K3" s="74" t="s">
        <v>9</v>
      </c>
    </row>
    <row r="4" spans="1:11" ht="12.75" customHeight="1">
      <c r="A4" s="7" t="s">
        <v>64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ht="12.75" customHeight="1">
      <c r="A5" s="9" t="s">
        <v>65</v>
      </c>
      <c r="B5" s="3">
        <v>209735</v>
      </c>
      <c r="C5" s="3">
        <v>674142</v>
      </c>
      <c r="D5" s="3">
        <v>45095</v>
      </c>
      <c r="E5" s="3">
        <v>100073</v>
      </c>
      <c r="F5" s="3">
        <v>84666</v>
      </c>
      <c r="G5" s="3">
        <v>228800</v>
      </c>
      <c r="H5" s="3">
        <v>85213</v>
      </c>
      <c r="I5" s="3">
        <v>17774</v>
      </c>
      <c r="J5" s="3">
        <v>172009</v>
      </c>
      <c r="K5" s="10">
        <v>177100</v>
      </c>
    </row>
    <row r="6" spans="1:11" ht="12.75" customHeight="1">
      <c r="A6" s="9" t="s">
        <v>66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1419</v>
      </c>
      <c r="K6" s="10">
        <v>13</v>
      </c>
    </row>
    <row r="7" spans="1:11" ht="12.75" customHeight="1">
      <c r="A7" s="9" t="s">
        <v>67</v>
      </c>
      <c r="B7" s="3">
        <v>341</v>
      </c>
      <c r="C7" s="3">
        <v>15982</v>
      </c>
      <c r="D7" s="3">
        <v>4697</v>
      </c>
      <c r="E7" s="3">
        <v>9</v>
      </c>
      <c r="F7" s="3">
        <v>4735</v>
      </c>
      <c r="G7" s="3">
        <v>96</v>
      </c>
      <c r="H7" s="3">
        <v>10</v>
      </c>
      <c r="I7" s="3">
        <v>236</v>
      </c>
      <c r="J7" s="3">
        <v>6178</v>
      </c>
      <c r="K7" s="10">
        <v>10726</v>
      </c>
    </row>
    <row r="8" spans="1:11" ht="12.75" customHeight="1">
      <c r="A8" s="9" t="s">
        <v>68</v>
      </c>
      <c r="B8" s="20">
        <v>-105854</v>
      </c>
      <c r="C8" s="20">
        <v>-459060</v>
      </c>
      <c r="D8" s="20">
        <v>-34642</v>
      </c>
      <c r="E8" s="20">
        <v>-65236</v>
      </c>
      <c r="F8" s="20">
        <v>-71111</v>
      </c>
      <c r="G8" s="20">
        <v>-194954</v>
      </c>
      <c r="H8" s="20">
        <v>-66909</v>
      </c>
      <c r="I8" s="20">
        <v>-8661</v>
      </c>
      <c r="J8" s="20">
        <v>-156830</v>
      </c>
      <c r="K8" s="29">
        <v>-152992</v>
      </c>
    </row>
    <row r="9" spans="1:11" ht="12.75" customHeight="1">
      <c r="A9" s="9" t="s">
        <v>69</v>
      </c>
      <c r="B9" s="20">
        <v>-40087</v>
      </c>
      <c r="C9" s="20">
        <v>-111652</v>
      </c>
      <c r="D9" s="20">
        <v>-6704</v>
      </c>
      <c r="E9" s="20">
        <v>-11383</v>
      </c>
      <c r="F9" s="20">
        <v>-12704</v>
      </c>
      <c r="G9" s="20">
        <v>-22627</v>
      </c>
      <c r="H9" s="20">
        <v>-4835</v>
      </c>
      <c r="I9" s="20">
        <v>-2523</v>
      </c>
      <c r="J9" s="20">
        <v>-18279</v>
      </c>
      <c r="K9" s="29">
        <v>-19532</v>
      </c>
    </row>
    <row r="10" spans="1:11" ht="12.75" customHeight="1">
      <c r="A10" s="9" t="s">
        <v>70</v>
      </c>
      <c r="B10" s="20">
        <v>-630</v>
      </c>
      <c r="C10" s="20">
        <v>-18254</v>
      </c>
      <c r="D10" s="20">
        <v>-2191</v>
      </c>
      <c r="E10" s="20">
        <v>-718</v>
      </c>
      <c r="F10" s="20">
        <v>-2453</v>
      </c>
      <c r="G10" s="20">
        <v>-1694</v>
      </c>
      <c r="H10" s="20">
        <v>-1386</v>
      </c>
      <c r="I10" s="20">
        <v>-351</v>
      </c>
      <c r="J10" s="20">
        <v>-664</v>
      </c>
      <c r="K10" s="29">
        <v>-1518</v>
      </c>
    </row>
    <row r="11" spans="1:11" ht="12.75" customHeight="1">
      <c r="A11" s="9" t="s">
        <v>71</v>
      </c>
      <c r="B11" s="20">
        <v>-2219</v>
      </c>
      <c r="C11" s="20">
        <v>-5773</v>
      </c>
      <c r="D11" s="20">
        <v>0</v>
      </c>
      <c r="E11" s="20">
        <v>-480</v>
      </c>
      <c r="F11" s="20">
        <v>0</v>
      </c>
      <c r="G11" s="20">
        <v>0</v>
      </c>
      <c r="H11" s="20">
        <v>-1675</v>
      </c>
      <c r="I11" s="20">
        <v>0</v>
      </c>
      <c r="J11" s="20">
        <v>-397</v>
      </c>
      <c r="K11" s="29">
        <v>0</v>
      </c>
    </row>
    <row r="12" spans="1:11" ht="12.75" customHeight="1">
      <c r="A12" s="9" t="s">
        <v>72</v>
      </c>
      <c r="B12" s="20">
        <v>-19517</v>
      </c>
      <c r="C12" s="20">
        <v>-6213</v>
      </c>
      <c r="D12" s="20">
        <v>-6</v>
      </c>
      <c r="E12" s="20">
        <v>-3930</v>
      </c>
      <c r="F12" s="20">
        <v>-2306</v>
      </c>
      <c r="G12" s="20">
        <v>-4614</v>
      </c>
      <c r="H12" s="20">
        <v>-136</v>
      </c>
      <c r="I12" s="20">
        <v>-1697</v>
      </c>
      <c r="J12" s="20">
        <v>-5077</v>
      </c>
      <c r="K12" s="29">
        <v>-6049</v>
      </c>
    </row>
    <row r="13" spans="1:11" ht="12.7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10"/>
    </row>
    <row r="14" spans="1:11" ht="12.75" customHeight="1">
      <c r="A14" s="7" t="s">
        <v>73</v>
      </c>
      <c r="B14" s="44">
        <f aca="true" t="shared" si="0" ref="B14:K14">SUM(B4:B13)</f>
        <v>41769</v>
      </c>
      <c r="C14" s="44">
        <f t="shared" si="0"/>
        <v>89172</v>
      </c>
      <c r="D14" s="44">
        <f t="shared" si="0"/>
        <v>6249</v>
      </c>
      <c r="E14" s="44">
        <f t="shared" si="0"/>
        <v>18335</v>
      </c>
      <c r="F14" s="22">
        <f t="shared" si="0"/>
        <v>827</v>
      </c>
      <c r="G14" s="22">
        <f t="shared" si="0"/>
        <v>5007</v>
      </c>
      <c r="H14" s="4">
        <f t="shared" si="0"/>
        <v>10282</v>
      </c>
      <c r="I14" s="44">
        <f t="shared" si="0"/>
        <v>4778</v>
      </c>
      <c r="J14" s="22">
        <f t="shared" si="0"/>
        <v>-1641</v>
      </c>
      <c r="K14" s="25">
        <f t="shared" si="0"/>
        <v>7748</v>
      </c>
    </row>
    <row r="15" spans="1:11" ht="12.75" customHeight="1">
      <c r="A15" s="13"/>
      <c r="B15" s="3"/>
      <c r="C15" s="3"/>
      <c r="D15" s="3"/>
      <c r="E15" s="3"/>
      <c r="F15" s="3"/>
      <c r="G15" s="3"/>
      <c r="H15" s="3"/>
      <c r="I15" s="3"/>
      <c r="J15" s="3"/>
      <c r="K15" s="10"/>
    </row>
    <row r="16" spans="1:11" ht="12.75" customHeight="1">
      <c r="A16" s="7" t="s">
        <v>74</v>
      </c>
      <c r="B16" s="3"/>
      <c r="C16" s="3"/>
      <c r="D16" s="3"/>
      <c r="E16" s="3"/>
      <c r="F16" s="3"/>
      <c r="G16" s="3"/>
      <c r="H16" s="3"/>
      <c r="I16" s="3"/>
      <c r="J16" s="3"/>
      <c r="K16" s="10"/>
    </row>
    <row r="17" spans="1:11" ht="12.75" customHeight="1">
      <c r="A17" s="9" t="s">
        <v>75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10">
        <v>0</v>
      </c>
    </row>
    <row r="18" spans="1:11" ht="12.75" customHeight="1">
      <c r="A18" s="9" t="s">
        <v>76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31</v>
      </c>
      <c r="K18" s="10">
        <v>1416</v>
      </c>
    </row>
    <row r="19" spans="1:11" ht="12.75" customHeight="1">
      <c r="A19" s="9" t="s">
        <v>77</v>
      </c>
      <c r="B19" s="20">
        <v>36907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20">
        <v>0</v>
      </c>
      <c r="K19" s="10">
        <v>0</v>
      </c>
    </row>
    <row r="20" spans="1:11" ht="12.75" customHeight="1">
      <c r="A20" s="9" t="s">
        <v>78</v>
      </c>
      <c r="B20" s="3">
        <v>20604</v>
      </c>
      <c r="C20" s="3">
        <v>1782</v>
      </c>
      <c r="D20" s="3">
        <v>3</v>
      </c>
      <c r="E20" s="3">
        <v>3</v>
      </c>
      <c r="F20" s="3">
        <v>577</v>
      </c>
      <c r="G20" s="3">
        <v>7</v>
      </c>
      <c r="H20" s="3">
        <v>13</v>
      </c>
      <c r="I20" s="3">
        <v>0</v>
      </c>
      <c r="J20" s="3">
        <v>0</v>
      </c>
      <c r="K20" s="10">
        <v>0</v>
      </c>
    </row>
    <row r="21" spans="1:11" ht="12.75" customHeight="1">
      <c r="A21" s="9" t="s">
        <v>79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10">
        <v>0</v>
      </c>
    </row>
    <row r="22" spans="1:11" ht="12.75" customHeight="1">
      <c r="A22" s="9" t="s">
        <v>80</v>
      </c>
      <c r="B22" s="20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10">
        <v>0</v>
      </c>
    </row>
    <row r="23" spans="1:11" ht="12.75" customHeight="1">
      <c r="A23" s="9" t="s">
        <v>81</v>
      </c>
      <c r="B23" s="20">
        <v>-38296</v>
      </c>
      <c r="C23" s="20">
        <v>-3682</v>
      </c>
      <c r="D23" s="20">
        <v>-62</v>
      </c>
      <c r="E23" s="20">
        <v>-18145</v>
      </c>
      <c r="F23" s="20">
        <v>0</v>
      </c>
      <c r="G23" s="20">
        <v>-1117</v>
      </c>
      <c r="H23" s="20">
        <v>-1240</v>
      </c>
      <c r="I23" s="20">
        <v>0</v>
      </c>
      <c r="J23" s="20">
        <v>-3979</v>
      </c>
      <c r="K23" s="29">
        <v>-5794</v>
      </c>
    </row>
    <row r="24" spans="1:11" ht="12.75" customHeight="1">
      <c r="A24" s="9" t="s">
        <v>96</v>
      </c>
      <c r="B24" s="20">
        <v>0</v>
      </c>
      <c r="C24" s="20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29">
        <v>872</v>
      </c>
    </row>
    <row r="25" spans="1:11" ht="12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10"/>
    </row>
    <row r="26" spans="1:11" ht="12.75" customHeight="1">
      <c r="A26" s="7" t="s">
        <v>83</v>
      </c>
      <c r="B26" s="44">
        <f aca="true" t="shared" si="1" ref="B26:I26">SUM(B16:B25)</f>
        <v>19215</v>
      </c>
      <c r="C26" s="30">
        <f t="shared" si="1"/>
        <v>-1900</v>
      </c>
      <c r="D26" s="22">
        <f t="shared" si="1"/>
        <v>-59</v>
      </c>
      <c r="E26" s="44">
        <f t="shared" si="1"/>
        <v>-18142</v>
      </c>
      <c r="F26" s="30">
        <f t="shared" si="1"/>
        <v>577</v>
      </c>
      <c r="G26" s="30">
        <f t="shared" si="1"/>
        <v>-1110</v>
      </c>
      <c r="H26" s="22">
        <f t="shared" si="1"/>
        <v>-1227</v>
      </c>
      <c r="I26" s="22">
        <f t="shared" si="1"/>
        <v>0</v>
      </c>
      <c r="J26" s="30">
        <f>SUM(J17:J25)</f>
        <v>-3948</v>
      </c>
      <c r="K26" s="25">
        <f>SUM(K17:K24)</f>
        <v>-3506</v>
      </c>
    </row>
    <row r="27" spans="1:11" ht="12.7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10"/>
    </row>
    <row r="28" spans="1:11" ht="12.75" customHeight="1">
      <c r="A28" s="7" t="s">
        <v>84</v>
      </c>
      <c r="B28" s="3"/>
      <c r="C28" s="3"/>
      <c r="D28" s="3"/>
      <c r="E28" s="3"/>
      <c r="F28" s="3"/>
      <c r="G28" s="3"/>
      <c r="H28" s="3"/>
      <c r="I28" s="3"/>
      <c r="J28" s="3"/>
      <c r="K28" s="10"/>
    </row>
    <row r="29" spans="1:11" ht="12.75" customHeight="1">
      <c r="A29" s="9" t="s">
        <v>95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10">
        <v>0</v>
      </c>
    </row>
    <row r="30" spans="1:11" ht="12.75" customHeight="1">
      <c r="A30" s="9" t="s">
        <v>85</v>
      </c>
      <c r="B30" s="20">
        <v>-20026</v>
      </c>
      <c r="C30" s="20">
        <v>-6228</v>
      </c>
      <c r="D30" s="20">
        <v>-4940</v>
      </c>
      <c r="E30" s="20">
        <v>0</v>
      </c>
      <c r="F30" s="20">
        <v>-3009</v>
      </c>
      <c r="G30" s="20">
        <v>-2550</v>
      </c>
      <c r="H30" s="20">
        <v>-4171</v>
      </c>
      <c r="I30" s="20">
        <v>-5200</v>
      </c>
      <c r="J30" s="20">
        <v>0</v>
      </c>
      <c r="K30" s="29">
        <v>-3445</v>
      </c>
    </row>
    <row r="31" spans="1:11" ht="12.75" customHeight="1">
      <c r="A31" s="9" t="s">
        <v>86</v>
      </c>
      <c r="B31" s="20">
        <v>-37404</v>
      </c>
      <c r="C31" s="20">
        <v>-5803</v>
      </c>
      <c r="D31" s="20">
        <v>0</v>
      </c>
      <c r="E31" s="20">
        <v>-608</v>
      </c>
      <c r="F31" s="3">
        <v>0</v>
      </c>
      <c r="G31" s="20">
        <v>0</v>
      </c>
      <c r="H31" s="20">
        <v>-286</v>
      </c>
      <c r="I31" s="20">
        <v>0</v>
      </c>
      <c r="J31" s="20">
        <v>0</v>
      </c>
      <c r="K31" s="10">
        <v>0</v>
      </c>
    </row>
    <row r="32" spans="1:11" ht="12.75" customHeight="1">
      <c r="A32" s="9" t="s">
        <v>87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20">
        <v>0</v>
      </c>
      <c r="H32" s="20">
        <v>0</v>
      </c>
      <c r="I32" s="20">
        <v>0</v>
      </c>
      <c r="J32" s="20">
        <v>0</v>
      </c>
      <c r="K32" s="10">
        <v>0</v>
      </c>
    </row>
    <row r="33" spans="1:11" ht="12.7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10"/>
    </row>
    <row r="34" spans="1:11" ht="12.75" customHeight="1">
      <c r="A34" s="7" t="s">
        <v>88</v>
      </c>
      <c r="B34" s="22">
        <f>SUM(B29:B32)</f>
        <v>-57430</v>
      </c>
      <c r="C34" s="22">
        <f aca="true" t="shared" si="2" ref="C34:K34">SUM(C29:C32)</f>
        <v>-12031</v>
      </c>
      <c r="D34" s="22">
        <f t="shared" si="2"/>
        <v>-4940</v>
      </c>
      <c r="E34" s="22">
        <f t="shared" si="2"/>
        <v>-608</v>
      </c>
      <c r="F34" s="22">
        <f t="shared" si="2"/>
        <v>-3009</v>
      </c>
      <c r="G34" s="22">
        <f t="shared" si="2"/>
        <v>-2550</v>
      </c>
      <c r="H34" s="22">
        <f t="shared" si="2"/>
        <v>-4457</v>
      </c>
      <c r="I34" s="22">
        <f t="shared" si="2"/>
        <v>-5200</v>
      </c>
      <c r="J34" s="22">
        <f t="shared" si="2"/>
        <v>0</v>
      </c>
      <c r="K34" s="25">
        <f t="shared" si="2"/>
        <v>-3445</v>
      </c>
    </row>
    <row r="35" spans="1:11" ht="12.7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10"/>
    </row>
    <row r="36" spans="1:11" ht="12.75" customHeight="1">
      <c r="A36" s="7" t="s">
        <v>89</v>
      </c>
      <c r="B36" s="22">
        <f aca="true" t="shared" si="3" ref="B36:J36">SUM(B14+(B26+B34))</f>
        <v>3554</v>
      </c>
      <c r="C36" s="22">
        <f t="shared" si="3"/>
        <v>75241</v>
      </c>
      <c r="D36" s="22">
        <f>(D14+(D26+D34))</f>
        <v>1250</v>
      </c>
      <c r="E36" s="22">
        <f t="shared" si="3"/>
        <v>-415</v>
      </c>
      <c r="F36" s="22">
        <v>-1605</v>
      </c>
      <c r="G36" s="22">
        <f t="shared" si="3"/>
        <v>1347</v>
      </c>
      <c r="H36" s="22">
        <f t="shared" si="3"/>
        <v>4598</v>
      </c>
      <c r="I36" s="22">
        <f t="shared" si="3"/>
        <v>-422</v>
      </c>
      <c r="J36" s="22">
        <f t="shared" si="3"/>
        <v>-5589</v>
      </c>
      <c r="K36" s="25">
        <v>797</v>
      </c>
    </row>
    <row r="37" spans="1:11" ht="12.75" customHeight="1">
      <c r="A37" s="7"/>
      <c r="B37" s="3"/>
      <c r="C37" s="3"/>
      <c r="D37" s="3"/>
      <c r="E37" s="3"/>
      <c r="F37" s="31"/>
      <c r="G37" s="3"/>
      <c r="H37" s="3"/>
      <c r="I37" s="3"/>
      <c r="J37" s="3"/>
      <c r="K37" s="10"/>
    </row>
    <row r="38" spans="1:11" ht="12.75" customHeight="1">
      <c r="A38" s="7" t="s">
        <v>90</v>
      </c>
      <c r="B38" s="4">
        <v>4363</v>
      </c>
      <c r="C38" s="4">
        <v>546350</v>
      </c>
      <c r="D38" s="4">
        <v>5836</v>
      </c>
      <c r="E38" s="4">
        <v>1205</v>
      </c>
      <c r="F38" s="4">
        <v>39485</v>
      </c>
      <c r="G38" s="4">
        <v>29439</v>
      </c>
      <c r="H38" s="4">
        <v>5429</v>
      </c>
      <c r="I38" s="4">
        <v>1278</v>
      </c>
      <c r="J38" s="4">
        <v>11529</v>
      </c>
      <c r="K38" s="11">
        <v>14846</v>
      </c>
    </row>
    <row r="39" spans="1:11" ht="12.75" customHeight="1">
      <c r="A39" s="7"/>
      <c r="B39" s="4"/>
      <c r="C39" s="4"/>
      <c r="D39" s="4"/>
      <c r="E39" s="4"/>
      <c r="F39" s="4"/>
      <c r="G39" s="4"/>
      <c r="H39" s="4"/>
      <c r="I39" s="4"/>
      <c r="J39" s="4"/>
      <c r="K39" s="11"/>
    </row>
    <row r="40" spans="1:11" ht="12.75" customHeight="1">
      <c r="A40" s="7" t="s">
        <v>92</v>
      </c>
      <c r="B40" s="4">
        <v>0</v>
      </c>
      <c r="C40" s="4">
        <v>0</v>
      </c>
      <c r="D40" s="4">
        <v>0</v>
      </c>
      <c r="E40" s="4">
        <v>0</v>
      </c>
      <c r="F40" s="44">
        <v>2017</v>
      </c>
      <c r="G40" s="4">
        <v>0</v>
      </c>
      <c r="H40" s="4">
        <v>0</v>
      </c>
      <c r="I40" s="4">
        <v>0</v>
      </c>
      <c r="J40" s="4">
        <v>0</v>
      </c>
      <c r="K40" s="11">
        <v>0</v>
      </c>
    </row>
    <row r="41" spans="1:11" ht="12.75" customHeight="1">
      <c r="A41" s="7"/>
      <c r="B41" s="4"/>
      <c r="C41" s="4"/>
      <c r="D41" s="4"/>
      <c r="E41" s="40"/>
      <c r="F41" s="40"/>
      <c r="G41" s="4"/>
      <c r="H41" s="4"/>
      <c r="I41" s="4"/>
      <c r="J41" s="4"/>
      <c r="K41" s="11"/>
    </row>
    <row r="42" spans="1:11" ht="12.75" customHeight="1" thickBot="1">
      <c r="A42" s="16" t="s">
        <v>91</v>
      </c>
      <c r="B42" s="17">
        <f>SUM(B36+B38+B40)</f>
        <v>7917</v>
      </c>
      <c r="C42" s="17">
        <f>SUM(C36+C38+C40)</f>
        <v>621591</v>
      </c>
      <c r="D42" s="17">
        <f aca="true" t="shared" si="4" ref="D42:K42">SUM(D36+D38+D40)</f>
        <v>7086</v>
      </c>
      <c r="E42" s="17">
        <f t="shared" si="4"/>
        <v>790</v>
      </c>
      <c r="F42" s="17">
        <f t="shared" si="4"/>
        <v>39897</v>
      </c>
      <c r="G42" s="17">
        <f t="shared" si="4"/>
        <v>30786</v>
      </c>
      <c r="H42" s="17">
        <f t="shared" si="4"/>
        <v>10027</v>
      </c>
      <c r="I42" s="17">
        <f t="shared" si="4"/>
        <v>856</v>
      </c>
      <c r="J42" s="17">
        <f t="shared" si="4"/>
        <v>5940</v>
      </c>
      <c r="K42" s="18">
        <f t="shared" si="4"/>
        <v>15643</v>
      </c>
    </row>
    <row r="43" spans="1:9" ht="16.5" customHeight="1">
      <c r="A43" s="76" t="s">
        <v>106</v>
      </c>
      <c r="B43" s="76"/>
      <c r="C43" s="76"/>
      <c r="D43" s="76"/>
      <c r="E43" s="76"/>
      <c r="F43" s="76"/>
      <c r="G43" s="76"/>
      <c r="H43" s="76"/>
      <c r="I43" s="41"/>
    </row>
    <row r="44" spans="1:6" ht="12.75" customHeight="1" thickBot="1">
      <c r="A44" s="1"/>
      <c r="B44" s="1"/>
      <c r="C44" s="34"/>
      <c r="D44" s="32"/>
      <c r="E44" s="32"/>
      <c r="F44" s="32" t="s">
        <v>13</v>
      </c>
    </row>
    <row r="45" spans="1:6" ht="31.5">
      <c r="A45" s="6"/>
      <c r="B45" s="71" t="s">
        <v>10</v>
      </c>
      <c r="C45" s="73" t="s">
        <v>11</v>
      </c>
      <c r="D45" s="75" t="s">
        <v>12</v>
      </c>
      <c r="E45" s="73" t="s">
        <v>98</v>
      </c>
      <c r="F45" s="46" t="s">
        <v>99</v>
      </c>
    </row>
    <row r="46" spans="1:6" ht="12.75" customHeight="1">
      <c r="A46" s="7" t="s">
        <v>64</v>
      </c>
      <c r="B46" s="27"/>
      <c r="C46" s="27"/>
      <c r="D46" s="62"/>
      <c r="E46" s="27"/>
      <c r="F46" s="61"/>
    </row>
    <row r="47" spans="1:6" ht="12.75" customHeight="1">
      <c r="A47" s="9" t="s">
        <v>65</v>
      </c>
      <c r="B47" s="20">
        <v>2421050</v>
      </c>
      <c r="C47" s="20">
        <v>429758</v>
      </c>
      <c r="D47" s="55">
        <v>324989</v>
      </c>
      <c r="E47" s="20">
        <v>154866</v>
      </c>
      <c r="F47" s="50"/>
    </row>
    <row r="48" spans="1:6" ht="12.75" customHeight="1">
      <c r="A48" s="9" t="s">
        <v>66</v>
      </c>
      <c r="B48" s="20">
        <v>0</v>
      </c>
      <c r="C48" s="20">
        <v>0</v>
      </c>
      <c r="D48" s="55">
        <v>0</v>
      </c>
      <c r="E48" s="20">
        <v>0</v>
      </c>
      <c r="F48" s="50"/>
    </row>
    <row r="49" spans="1:6" ht="12.75" customHeight="1">
      <c r="A49" s="9" t="s">
        <v>67</v>
      </c>
      <c r="B49" s="20">
        <v>5977</v>
      </c>
      <c r="C49" s="20">
        <v>163</v>
      </c>
      <c r="D49" s="55">
        <v>0</v>
      </c>
      <c r="E49" s="20">
        <v>0</v>
      </c>
      <c r="F49" s="50"/>
    </row>
    <row r="50" spans="1:6" ht="12.75" customHeight="1">
      <c r="A50" s="9" t="s">
        <v>68</v>
      </c>
      <c r="B50" s="20">
        <v>-1734486</v>
      </c>
      <c r="C50" s="20">
        <v>-381211</v>
      </c>
      <c r="D50" s="55">
        <v>-277272</v>
      </c>
      <c r="E50" s="20">
        <v>-79087</v>
      </c>
      <c r="F50" s="50"/>
    </row>
    <row r="51" spans="1:6" ht="12.75" customHeight="1">
      <c r="A51" s="9" t="s">
        <v>69</v>
      </c>
      <c r="B51" s="20">
        <v>-205479</v>
      </c>
      <c r="C51" s="20">
        <v>-46665</v>
      </c>
      <c r="D51" s="55">
        <v>-29215</v>
      </c>
      <c r="E51" s="20">
        <v>-21130</v>
      </c>
      <c r="F51" s="50"/>
    </row>
    <row r="52" spans="1:6" ht="12.75" customHeight="1">
      <c r="A52" s="9" t="s">
        <v>70</v>
      </c>
      <c r="B52" s="20">
        <v>0</v>
      </c>
      <c r="C52" s="20">
        <v>0</v>
      </c>
      <c r="D52" s="55">
        <v>-3</v>
      </c>
      <c r="E52" s="20">
        <v>0</v>
      </c>
      <c r="F52" s="50"/>
    </row>
    <row r="53" spans="1:6" ht="12.75" customHeight="1">
      <c r="A53" s="9" t="s">
        <v>71</v>
      </c>
      <c r="B53" s="20">
        <v>-3710</v>
      </c>
      <c r="C53" s="20">
        <v>0</v>
      </c>
      <c r="D53" s="55">
        <v>0</v>
      </c>
      <c r="E53" s="20">
        <v>0</v>
      </c>
      <c r="F53" s="50"/>
    </row>
    <row r="54" spans="1:6" ht="12.75" customHeight="1">
      <c r="A54" s="9" t="s">
        <v>72</v>
      </c>
      <c r="B54" s="20">
        <v>-493327</v>
      </c>
      <c r="C54" s="20">
        <v>-4765</v>
      </c>
      <c r="D54" s="55">
        <v>-7007</v>
      </c>
      <c r="E54" s="20">
        <v>-47099</v>
      </c>
      <c r="F54" s="50"/>
    </row>
    <row r="55" spans="1:6" ht="12.75" customHeight="1">
      <c r="A55" s="13"/>
      <c r="B55" s="20"/>
      <c r="C55" s="20"/>
      <c r="D55" s="55"/>
      <c r="E55" s="20"/>
      <c r="F55" s="50"/>
    </row>
    <row r="56" spans="1:6" ht="12.75" customHeight="1">
      <c r="A56" s="7" t="s">
        <v>73</v>
      </c>
      <c r="B56" s="22">
        <f>SUM(B47:B54)</f>
        <v>-9975</v>
      </c>
      <c r="C56" s="22">
        <f>SUM(C46:C55)</f>
        <v>-2720</v>
      </c>
      <c r="D56" s="30">
        <f>SUM(D46:D55)</f>
        <v>11492</v>
      </c>
      <c r="E56" s="22">
        <f>SUM(E46:E55)</f>
        <v>7550</v>
      </c>
      <c r="F56" s="45"/>
    </row>
    <row r="57" spans="1:6" ht="12.75" customHeight="1">
      <c r="A57" s="13"/>
      <c r="B57" s="20"/>
      <c r="C57" s="20"/>
      <c r="D57" s="55"/>
      <c r="E57" s="20"/>
      <c r="F57" s="50"/>
    </row>
    <row r="58" spans="1:6" ht="12.75" customHeight="1">
      <c r="A58" s="7" t="s">
        <v>74</v>
      </c>
      <c r="B58" s="20"/>
      <c r="C58" s="20"/>
      <c r="D58" s="55"/>
      <c r="E58" s="20"/>
      <c r="F58" s="50"/>
    </row>
    <row r="59" spans="1:6" ht="12.75" customHeight="1">
      <c r="A59" s="9" t="s">
        <v>75</v>
      </c>
      <c r="B59" s="20">
        <v>0</v>
      </c>
      <c r="C59" s="20">
        <v>0</v>
      </c>
      <c r="D59" s="55">
        <v>0</v>
      </c>
      <c r="E59" s="20">
        <v>0</v>
      </c>
      <c r="F59" s="50"/>
    </row>
    <row r="60" spans="1:6" ht="12.75" customHeight="1">
      <c r="A60" s="9" t="s">
        <v>76</v>
      </c>
      <c r="B60" s="20">
        <v>0</v>
      </c>
      <c r="C60" s="20">
        <v>0</v>
      </c>
      <c r="D60" s="55">
        <v>0</v>
      </c>
      <c r="E60" s="20">
        <v>0</v>
      </c>
      <c r="F60" s="50"/>
    </row>
    <row r="61" spans="1:6" ht="12.75" customHeight="1">
      <c r="A61" s="9" t="s">
        <v>77</v>
      </c>
      <c r="B61" s="20">
        <v>0</v>
      </c>
      <c r="C61" s="20">
        <v>0</v>
      </c>
      <c r="D61" s="55">
        <v>0</v>
      </c>
      <c r="E61" s="20">
        <v>0</v>
      </c>
      <c r="F61" s="50"/>
    </row>
    <row r="62" spans="1:6" ht="12.75" customHeight="1">
      <c r="A62" s="9" t="s">
        <v>78</v>
      </c>
      <c r="B62" s="20">
        <v>0</v>
      </c>
      <c r="C62" s="20">
        <v>0</v>
      </c>
      <c r="D62" s="55">
        <v>130</v>
      </c>
      <c r="E62" s="20">
        <v>457</v>
      </c>
      <c r="F62" s="50"/>
    </row>
    <row r="63" spans="1:6" ht="12.75" customHeight="1">
      <c r="A63" s="9" t="s">
        <v>79</v>
      </c>
      <c r="B63" s="20">
        <v>0</v>
      </c>
      <c r="C63" s="20">
        <v>0</v>
      </c>
      <c r="D63" s="55">
        <v>0</v>
      </c>
      <c r="E63" s="20">
        <v>0</v>
      </c>
      <c r="F63" s="50"/>
    </row>
    <row r="64" spans="1:6" ht="12.75" customHeight="1">
      <c r="A64" s="9" t="s">
        <v>80</v>
      </c>
      <c r="B64" s="20">
        <v>0</v>
      </c>
      <c r="C64" s="20">
        <v>0</v>
      </c>
      <c r="D64" s="55">
        <v>0</v>
      </c>
      <c r="E64" s="20">
        <v>0</v>
      </c>
      <c r="F64" s="50"/>
    </row>
    <row r="65" spans="1:6" ht="12.75" customHeight="1">
      <c r="A65" s="9" t="s">
        <v>81</v>
      </c>
      <c r="B65" s="20">
        <v>-45321</v>
      </c>
      <c r="C65" s="20">
        <v>0</v>
      </c>
      <c r="D65" s="55">
        <v>0</v>
      </c>
      <c r="E65" s="20">
        <v>0</v>
      </c>
      <c r="F65" s="50"/>
    </row>
    <row r="66" spans="1:6" ht="12.75" customHeight="1">
      <c r="A66" s="9" t="s">
        <v>82</v>
      </c>
      <c r="B66" s="20">
        <v>0</v>
      </c>
      <c r="C66" s="20">
        <v>0</v>
      </c>
      <c r="D66" s="55">
        <v>0</v>
      </c>
      <c r="E66" s="20">
        <v>0</v>
      </c>
      <c r="F66" s="50"/>
    </row>
    <row r="67" spans="1:6" ht="12.75" customHeight="1">
      <c r="A67" s="13"/>
      <c r="B67" s="20"/>
      <c r="C67" s="20"/>
      <c r="D67" s="55"/>
      <c r="E67" s="20"/>
      <c r="F67" s="50"/>
    </row>
    <row r="68" spans="1:6" ht="12.75" customHeight="1">
      <c r="A68" s="7" t="s">
        <v>83</v>
      </c>
      <c r="B68" s="22">
        <f>SUM(B59:B66)</f>
        <v>-45321</v>
      </c>
      <c r="C68" s="22">
        <f>SUM(C59:C66)</f>
        <v>0</v>
      </c>
      <c r="D68" s="30">
        <f>SUM(D59:D66)</f>
        <v>130</v>
      </c>
      <c r="E68" s="22">
        <f>SUM(E59:E66)</f>
        <v>457</v>
      </c>
      <c r="F68" s="45"/>
    </row>
    <row r="69" spans="1:6" ht="12.75" customHeight="1">
      <c r="A69" s="13"/>
      <c r="B69" s="20"/>
      <c r="C69" s="20"/>
      <c r="D69" s="55"/>
      <c r="E69" s="20"/>
      <c r="F69" s="50"/>
    </row>
    <row r="70" spans="1:6" ht="12.75" customHeight="1">
      <c r="A70" s="7" t="s">
        <v>84</v>
      </c>
      <c r="B70" s="20"/>
      <c r="C70" s="20"/>
      <c r="D70" s="55"/>
      <c r="E70" s="20"/>
      <c r="F70" s="50"/>
    </row>
    <row r="71" spans="1:6" ht="12.75" customHeight="1">
      <c r="A71" s="9" t="s">
        <v>95</v>
      </c>
      <c r="B71" s="20">
        <v>0</v>
      </c>
      <c r="C71" s="20">
        <v>0</v>
      </c>
      <c r="D71" s="55">
        <v>0</v>
      </c>
      <c r="E71" s="20">
        <v>0</v>
      </c>
      <c r="F71" s="50"/>
    </row>
    <row r="72" spans="1:7" ht="12.75" customHeight="1">
      <c r="A72" s="9" t="s">
        <v>85</v>
      </c>
      <c r="B72" s="20">
        <v>0</v>
      </c>
      <c r="C72" s="20">
        <v>0</v>
      </c>
      <c r="D72" s="55">
        <v>0</v>
      </c>
      <c r="E72" s="20">
        <v>0</v>
      </c>
      <c r="F72" s="50"/>
      <c r="G72" s="37"/>
    </row>
    <row r="73" spans="1:6" ht="12.75" customHeight="1">
      <c r="A73" s="9" t="s">
        <v>86</v>
      </c>
      <c r="B73" s="20">
        <v>0</v>
      </c>
      <c r="C73" s="20">
        <v>0</v>
      </c>
      <c r="D73" s="55">
        <v>0</v>
      </c>
      <c r="E73" s="20">
        <v>0</v>
      </c>
      <c r="F73" s="50"/>
    </row>
    <row r="74" spans="1:6" ht="12.75" customHeight="1">
      <c r="A74" s="9" t="s">
        <v>87</v>
      </c>
      <c r="B74" s="20">
        <v>0</v>
      </c>
      <c r="C74" s="20">
        <v>0</v>
      </c>
      <c r="D74" s="55">
        <v>0</v>
      </c>
      <c r="E74" s="20">
        <v>0</v>
      </c>
      <c r="F74" s="50"/>
    </row>
    <row r="75" spans="1:6" ht="12.75" customHeight="1">
      <c r="A75" s="13"/>
      <c r="B75" s="20"/>
      <c r="C75" s="20"/>
      <c r="D75" s="55"/>
      <c r="E75" s="20"/>
      <c r="F75" s="50"/>
    </row>
    <row r="76" spans="1:6" ht="12.75" customHeight="1">
      <c r="A76" s="7" t="s">
        <v>88</v>
      </c>
      <c r="B76" s="30">
        <f>SUM(B71:B74)</f>
        <v>0</v>
      </c>
      <c r="C76" s="22">
        <f>SUM(C71:C74)</f>
        <v>0</v>
      </c>
      <c r="D76" s="63">
        <f>SUM(D71:D74)</f>
        <v>0</v>
      </c>
      <c r="E76" s="22">
        <f>SUM(E71:E74)</f>
        <v>0</v>
      </c>
      <c r="F76" s="45"/>
    </row>
    <row r="77" spans="1:6" ht="12.75" customHeight="1">
      <c r="A77" s="13"/>
      <c r="B77" s="20"/>
      <c r="C77" s="20"/>
      <c r="D77" s="55"/>
      <c r="E77" s="20"/>
      <c r="F77" s="50"/>
    </row>
    <row r="78" spans="1:8" ht="12.75" customHeight="1">
      <c r="A78" s="7" t="s">
        <v>89</v>
      </c>
      <c r="B78" s="22">
        <f>SUM(B56+(B68+B76))</f>
        <v>-55296</v>
      </c>
      <c r="C78" s="22">
        <f>SUM(C56+(C68+C76))</f>
        <v>-2720</v>
      </c>
      <c r="D78" s="30">
        <f>SUM(D56+(D68+D76))</f>
        <v>11622</v>
      </c>
      <c r="E78" s="22">
        <f>SUM(E56+(E68+E76))</f>
        <v>8007</v>
      </c>
      <c r="F78" s="45"/>
      <c r="H78" s="33" t="s">
        <v>108</v>
      </c>
    </row>
    <row r="79" spans="1:8" ht="12.75" customHeight="1">
      <c r="A79" s="7"/>
      <c r="B79" s="20"/>
      <c r="C79" s="20"/>
      <c r="D79" s="55"/>
      <c r="E79" s="20"/>
      <c r="F79" s="50"/>
      <c r="H79" s="33" t="s">
        <v>109</v>
      </c>
    </row>
    <row r="80" spans="1:6" ht="12.75" customHeight="1">
      <c r="A80" s="7" t="s">
        <v>90</v>
      </c>
      <c r="B80" s="22">
        <v>284157</v>
      </c>
      <c r="C80" s="22">
        <v>9685</v>
      </c>
      <c r="D80" s="30">
        <v>13319</v>
      </c>
      <c r="E80" s="22">
        <v>49525</v>
      </c>
      <c r="F80" s="45"/>
    </row>
    <row r="81" spans="1:6" ht="12.75" customHeight="1">
      <c r="A81" s="7"/>
      <c r="B81" s="22"/>
      <c r="C81" s="22"/>
      <c r="D81" s="30"/>
      <c r="E81" s="22"/>
      <c r="F81" s="45"/>
    </row>
    <row r="82" spans="1:6" ht="12.75" customHeight="1">
      <c r="A82" s="7" t="s">
        <v>94</v>
      </c>
      <c r="B82" s="22">
        <v>-7008</v>
      </c>
      <c r="C82" s="22">
        <v>0</v>
      </c>
      <c r="D82" s="30">
        <v>41</v>
      </c>
      <c r="E82" s="22">
        <v>0</v>
      </c>
      <c r="F82" s="45"/>
    </row>
    <row r="83" spans="1:6" ht="12.75" customHeight="1">
      <c r="A83" s="13"/>
      <c r="B83" s="22"/>
      <c r="C83" s="22"/>
      <c r="D83" s="30"/>
      <c r="E83" s="22"/>
      <c r="F83" s="45"/>
    </row>
    <row r="84" spans="1:6" ht="12.75" customHeight="1" thickBot="1">
      <c r="A84" s="16" t="s">
        <v>91</v>
      </c>
      <c r="B84" s="23">
        <f>SUM(B78+B80+B82)</f>
        <v>221853</v>
      </c>
      <c r="C84" s="23">
        <f>SUM(C78+C80+C82)</f>
        <v>6965</v>
      </c>
      <c r="D84" s="59">
        <f>SUM(D78,D80,D82)</f>
        <v>24982</v>
      </c>
      <c r="E84" s="23">
        <f>SUM(E78,E80,E82)</f>
        <v>57532</v>
      </c>
      <c r="F84" s="60"/>
    </row>
  </sheetData>
  <sheetProtection/>
  <mergeCells count="2">
    <mergeCell ref="A1:K1"/>
    <mergeCell ref="A43:H43"/>
  </mergeCells>
  <printOptions/>
  <pageMargins left="0.66" right="0.4" top="0.32" bottom="0.4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Metalac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Biljana Cvetic</cp:lastModifiedBy>
  <cp:lastPrinted>2012-05-08T13:53:09Z</cp:lastPrinted>
  <dcterms:created xsi:type="dcterms:W3CDTF">2009-02-24T07:04:59Z</dcterms:created>
  <dcterms:modified xsi:type="dcterms:W3CDTF">2012-05-08T13:53:16Z</dcterms:modified>
  <cp:category/>
  <cp:version/>
  <cp:contentType/>
  <cp:contentStatus/>
</cp:coreProperties>
</file>